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nguscattle.sharepoint.com/sites/ABB-Editorial-/Shared Documents/ABB EXTRA/2023/1223-December/graphics-management/"/>
    </mc:Choice>
  </mc:AlternateContent>
  <xr:revisionPtr revIDLastSave="0" documentId="8_{0A1793AF-66D1-154E-9048-46A4B13E671E}" xr6:coauthVersionLast="47" xr6:coauthVersionMax="47" xr10:uidLastSave="{00000000-0000-0000-0000-000000000000}"/>
  <bookViews>
    <workbookView xWindow="0" yWindow="760" windowWidth="29280" windowHeight="18880" tabRatio="827" xr2:uid="{00000000-000D-0000-FFFF-FFFF00000000}"/>
  </bookViews>
  <sheets>
    <sheet name="Read Me" sheetId="17" r:id="rId1"/>
    <sheet name="10-9-2015 prices sources" sheetId="18" state="hidden" r:id="rId2"/>
    <sheet name="Step 1 - Feed Cost Input Sheet " sheetId="16" r:id="rId3"/>
    <sheet name="Heifer Development" sheetId="14" r:id="rId4"/>
    <sheet name="Beef Cow Only" sheetId="9" r:id="rId5"/>
    <sheet name="Background Nov-Feb" sheetId="2" r:id="rId6"/>
    <sheet name="Finish Steers" sheetId="3" r:id="rId7"/>
    <sheet name="Background Yearlings 750-1100#" sheetId="10" r:id="rId8"/>
    <sheet name="Finish Yearlings 1100-1400" sheetId="11" r:id="rId9"/>
    <sheet name="Contact" sheetId="20" r:id="rId10"/>
  </sheets>
  <definedNames>
    <definedName name="_xlnm.Print_Area" localSheetId="5">'Background Nov-Feb'!$A$45:$I$127</definedName>
    <definedName name="_xlnm.Print_Area" localSheetId="7">'Background Yearlings 750-1100#'!$A$41:$I$117</definedName>
    <definedName name="_xlnm.Print_Area" localSheetId="4">'Beef Cow Only'!$A$45:$I$115</definedName>
    <definedName name="_xlnm.Print_Area" localSheetId="9">Contact!$A$1:$J$32</definedName>
    <definedName name="_xlnm.Print_Area" localSheetId="6">'Finish Steers'!$A$39:$I$116</definedName>
    <definedName name="_xlnm.Print_Area" localSheetId="8">'Finish Yearlings 1100-1400'!$A$39:$I$118</definedName>
    <definedName name="_xlnm.Print_Area" localSheetId="3">'Heifer Development'!$A$56:$I$101</definedName>
    <definedName name="_xlnm.Print_Area" localSheetId="0">'Read Me'!$A$1:$J$27</definedName>
    <definedName name="Print_Area_MI" localSheetId="3">#REF!</definedName>
    <definedName name="Print_Area_M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91" i="14" l="1"/>
  <c r="G36" i="2"/>
  <c r="E63" i="2"/>
  <c r="H36" i="2"/>
  <c r="G63" i="2" s="1"/>
  <c r="H63" i="2" s="1"/>
  <c r="G42" i="2"/>
  <c r="E69" i="2"/>
  <c r="H42" i="2"/>
  <c r="G69" i="2"/>
  <c r="H69" i="2"/>
  <c r="G39" i="2"/>
  <c r="E66" i="2"/>
  <c r="H39" i="2"/>
  <c r="G66" i="2"/>
  <c r="H66" i="2" s="1"/>
  <c r="G40" i="2"/>
  <c r="E67" i="2"/>
  <c r="H40" i="2"/>
  <c r="G67" i="2" s="1"/>
  <c r="H67" i="2" s="1"/>
  <c r="H34" i="2"/>
  <c r="G61" i="2"/>
  <c r="G34" i="2"/>
  <c r="E61" i="2"/>
  <c r="H61" i="2"/>
  <c r="G35" i="2"/>
  <c r="E62" i="2"/>
  <c r="H35" i="2"/>
  <c r="G62" i="2"/>
  <c r="H62" i="2"/>
  <c r="G37" i="2"/>
  <c r="E64" i="2"/>
  <c r="H37" i="2"/>
  <c r="G64" i="2"/>
  <c r="H64" i="2"/>
  <c r="G38" i="2"/>
  <c r="E65" i="2"/>
  <c r="H38" i="2"/>
  <c r="G65" i="2" s="1"/>
  <c r="H65" i="2" s="1"/>
  <c r="G41" i="2"/>
  <c r="E68" i="2"/>
  <c r="H41" i="2"/>
  <c r="G68" i="2" s="1"/>
  <c r="H68" i="2" s="1"/>
  <c r="G43" i="2"/>
  <c r="E70" i="2"/>
  <c r="H43" i="2"/>
  <c r="G70" i="2" s="1"/>
  <c r="H70" i="2" s="1"/>
  <c r="A44" i="11"/>
  <c r="I70" i="11"/>
  <c r="A46" i="10"/>
  <c r="H30" i="10"/>
  <c r="G57" i="10"/>
  <c r="K17" i="10"/>
  <c r="G30" i="10"/>
  <c r="E57" i="10"/>
  <c r="H57" i="10"/>
  <c r="G31" i="10"/>
  <c r="E58" i="10"/>
  <c r="H31" i="10"/>
  <c r="G58" i="10"/>
  <c r="H58" i="10"/>
  <c r="G32" i="10"/>
  <c r="E59" i="10"/>
  <c r="H32" i="10"/>
  <c r="G59" i="10"/>
  <c r="H59" i="10"/>
  <c r="G33" i="10"/>
  <c r="E60" i="10"/>
  <c r="H33" i="10"/>
  <c r="G60" i="10" s="1"/>
  <c r="H60" i="10" s="1"/>
  <c r="G34" i="10"/>
  <c r="E61" i="10"/>
  <c r="H34" i="10"/>
  <c r="G61" i="10" s="1"/>
  <c r="H61" i="10" s="1"/>
  <c r="G35" i="10"/>
  <c r="E62" i="10"/>
  <c r="H35" i="10"/>
  <c r="G62" i="10" s="1"/>
  <c r="H62" i="10" s="1"/>
  <c r="G36" i="10"/>
  <c r="E63" i="10"/>
  <c r="H36" i="10"/>
  <c r="G63" i="10" s="1"/>
  <c r="H63" i="10" s="1"/>
  <c r="G37" i="10"/>
  <c r="E64" i="10"/>
  <c r="H37" i="10"/>
  <c r="G64" i="10" s="1"/>
  <c r="H64" i="10" s="1"/>
  <c r="G38" i="10"/>
  <c r="E65" i="10"/>
  <c r="H38" i="10"/>
  <c r="G65" i="10"/>
  <c r="H65" i="10"/>
  <c r="H39" i="10"/>
  <c r="G66" i="10"/>
  <c r="E66" i="10"/>
  <c r="H66" i="10"/>
  <c r="E55" i="10"/>
  <c r="G55" i="10"/>
  <c r="I55" i="10"/>
  <c r="I67" i="10"/>
  <c r="I68" i="10"/>
  <c r="I69" i="10"/>
  <c r="I70" i="10"/>
  <c r="I71" i="10"/>
  <c r="I72" i="10"/>
  <c r="A45" i="3"/>
  <c r="A50" i="2"/>
  <c r="A50" i="9"/>
  <c r="A62" i="14"/>
  <c r="E49" i="3"/>
  <c r="G49" i="3"/>
  <c r="E109" i="3" s="1"/>
  <c r="I49" i="3"/>
  <c r="G50" i="3" s="1"/>
  <c r="I50" i="3" s="1"/>
  <c r="I51" i="3" s="1"/>
  <c r="E50" i="3"/>
  <c r="E54" i="3"/>
  <c r="G54" i="3"/>
  <c r="E97" i="3" s="1"/>
  <c r="I54" i="3"/>
  <c r="K17" i="3"/>
  <c r="G28" i="3"/>
  <c r="E56" i="3"/>
  <c r="H28" i="3"/>
  <c r="G56" i="3"/>
  <c r="H56" i="3"/>
  <c r="G29" i="3"/>
  <c r="E57" i="3"/>
  <c r="H29" i="3"/>
  <c r="G57" i="3"/>
  <c r="H57" i="3"/>
  <c r="G30" i="3"/>
  <c r="E58" i="3"/>
  <c r="H30" i="3"/>
  <c r="G58" i="3"/>
  <c r="H58" i="3"/>
  <c r="G31" i="3"/>
  <c r="E59" i="3"/>
  <c r="H31" i="3"/>
  <c r="G59" i="3"/>
  <c r="H59" i="3" s="1"/>
  <c r="G32" i="3"/>
  <c r="E60" i="3"/>
  <c r="H32" i="3"/>
  <c r="G60" i="3" s="1"/>
  <c r="H60" i="3" s="1"/>
  <c r="G33" i="3"/>
  <c r="E61" i="3"/>
  <c r="H33" i="3"/>
  <c r="G61" i="3" s="1"/>
  <c r="H61" i="3" s="1"/>
  <c r="G34" i="3"/>
  <c r="E62" i="3"/>
  <c r="H34" i="3"/>
  <c r="G62" i="3"/>
  <c r="H62" i="3" s="1"/>
  <c r="G35" i="3"/>
  <c r="E63" i="3"/>
  <c r="H35" i="3"/>
  <c r="G63" i="3"/>
  <c r="H63" i="3"/>
  <c r="G36" i="3"/>
  <c r="E64" i="3"/>
  <c r="H36" i="3"/>
  <c r="G64" i="3"/>
  <c r="H64" i="3"/>
  <c r="G37" i="3"/>
  <c r="E65" i="3"/>
  <c r="H37" i="3"/>
  <c r="G65" i="3" s="1"/>
  <c r="H65" i="3" s="1"/>
  <c r="I66" i="3"/>
  <c r="I67" i="3"/>
  <c r="I68" i="3"/>
  <c r="I69" i="3"/>
  <c r="I84" i="14"/>
  <c r="I16" i="14"/>
  <c r="G84" i="14"/>
  <c r="E84" i="14"/>
  <c r="E85" i="14"/>
  <c r="K19" i="14"/>
  <c r="G32" i="14"/>
  <c r="G45" i="14"/>
  <c r="E65" i="14"/>
  <c r="H32" i="14"/>
  <c r="G65" i="14"/>
  <c r="G33" i="14"/>
  <c r="G46" i="14"/>
  <c r="E66" i="14"/>
  <c r="H33" i="14"/>
  <c r="G66" i="14"/>
  <c r="G34" i="14"/>
  <c r="G47" i="14"/>
  <c r="E67" i="14"/>
  <c r="H34" i="14"/>
  <c r="G67" i="14" s="1"/>
  <c r="H67" i="14" s="1"/>
  <c r="G35" i="14"/>
  <c r="G48" i="14"/>
  <c r="E68" i="14"/>
  <c r="H35" i="14"/>
  <c r="G68" i="14" s="1"/>
  <c r="H68" i="14" s="1"/>
  <c r="G36" i="14"/>
  <c r="G49" i="14"/>
  <c r="H36" i="14"/>
  <c r="G69" i="14"/>
  <c r="G37" i="14"/>
  <c r="G50" i="14"/>
  <c r="E70" i="14"/>
  <c r="H37" i="14"/>
  <c r="B96" i="14" s="1"/>
  <c r="G38" i="14"/>
  <c r="G51" i="14"/>
  <c r="E71" i="14"/>
  <c r="H38" i="14"/>
  <c r="G71" i="14"/>
  <c r="H71" i="14" s="1"/>
  <c r="G39" i="14"/>
  <c r="G52" i="14"/>
  <c r="E72" i="14"/>
  <c r="H39" i="14"/>
  <c r="G72" i="14"/>
  <c r="H72" i="14" s="1"/>
  <c r="G40" i="14"/>
  <c r="G53" i="14"/>
  <c r="E73" i="14"/>
  <c r="H40" i="14"/>
  <c r="G73" i="14"/>
  <c r="F54" i="14"/>
  <c r="E74" i="14"/>
  <c r="H41" i="14"/>
  <c r="G74" i="14"/>
  <c r="I76" i="14"/>
  <c r="I77" i="14"/>
  <c r="I78" i="14"/>
  <c r="I79" i="14"/>
  <c r="I87" i="14" s="1"/>
  <c r="I80" i="14"/>
  <c r="A7" i="9"/>
  <c r="A7" i="2"/>
  <c r="H39" i="9"/>
  <c r="B87" i="9" s="1"/>
  <c r="E54" i="2"/>
  <c r="G54" i="2"/>
  <c r="F109" i="2" s="1"/>
  <c r="E55" i="2"/>
  <c r="E59" i="2"/>
  <c r="G59" i="2"/>
  <c r="I59" i="2" s="1"/>
  <c r="I71" i="2"/>
  <c r="I72" i="2"/>
  <c r="I73" i="2"/>
  <c r="I74" i="2"/>
  <c r="I75" i="2"/>
  <c r="I76" i="2"/>
  <c r="I84" i="2"/>
  <c r="E107" i="3"/>
  <c r="I76" i="3"/>
  <c r="H33" i="11"/>
  <c r="G60" i="11"/>
  <c r="H60" i="11" s="1"/>
  <c r="H32" i="11"/>
  <c r="G59" i="11"/>
  <c r="H59" i="11" s="1"/>
  <c r="H30" i="11"/>
  <c r="G57" i="11" s="1"/>
  <c r="H57" i="11" s="1"/>
  <c r="H31" i="11"/>
  <c r="G58" i="11"/>
  <c r="H34" i="11"/>
  <c r="G61" i="11"/>
  <c r="H61" i="11" s="1"/>
  <c r="H35" i="11"/>
  <c r="G62" i="11"/>
  <c r="H62" i="11" s="1"/>
  <c r="H36" i="11"/>
  <c r="G63" i="11"/>
  <c r="G53" i="11"/>
  <c r="C94" i="11" s="1"/>
  <c r="G48" i="11"/>
  <c r="I111" i="11" s="1"/>
  <c r="E50" i="10"/>
  <c r="G50" i="10"/>
  <c r="I50" i="10" s="1"/>
  <c r="E51" i="10"/>
  <c r="I80" i="10"/>
  <c r="E48" i="11"/>
  <c r="E49" i="11"/>
  <c r="E53" i="11"/>
  <c r="J17" i="11"/>
  <c r="G28" i="11"/>
  <c r="E55" i="11"/>
  <c r="H28" i="11"/>
  <c r="G55" i="11"/>
  <c r="H55" i="11"/>
  <c r="G29" i="11"/>
  <c r="E56" i="11"/>
  <c r="H29" i="11"/>
  <c r="G56" i="11"/>
  <c r="H56" i="11"/>
  <c r="G30" i="11"/>
  <c r="E57" i="11"/>
  <c r="G31" i="11"/>
  <c r="E58" i="11"/>
  <c r="G32" i="11"/>
  <c r="E59" i="11"/>
  <c r="G33" i="11"/>
  <c r="E60" i="11"/>
  <c r="G34" i="11"/>
  <c r="E61" i="11"/>
  <c r="G35" i="11"/>
  <c r="E62" i="11"/>
  <c r="G36" i="11"/>
  <c r="E63" i="11"/>
  <c r="G37" i="11"/>
  <c r="E64" i="11"/>
  <c r="H37" i="11"/>
  <c r="G64" i="11"/>
  <c r="H64" i="11" s="1"/>
  <c r="I65" i="11"/>
  <c r="I66" i="11"/>
  <c r="I67" i="11"/>
  <c r="I68" i="11"/>
  <c r="I69" i="11"/>
  <c r="I78" i="11"/>
  <c r="G58" i="9"/>
  <c r="H38" i="9"/>
  <c r="G57" i="9"/>
  <c r="H57" i="9" s="1"/>
  <c r="H36" i="9"/>
  <c r="G55" i="9"/>
  <c r="H37" i="9"/>
  <c r="G56" i="9" s="1"/>
  <c r="H56" i="9" s="1"/>
  <c r="H40" i="9"/>
  <c r="G59" i="9" s="1"/>
  <c r="H59" i="9" s="1"/>
  <c r="H41" i="9"/>
  <c r="G60" i="9"/>
  <c r="H60" i="9" s="1"/>
  <c r="H42" i="9"/>
  <c r="G61" i="9"/>
  <c r="C98" i="10"/>
  <c r="C97" i="10"/>
  <c r="C96" i="10"/>
  <c r="C95" i="10"/>
  <c r="C94" i="10"/>
  <c r="E89" i="3"/>
  <c r="F89" i="3" s="1"/>
  <c r="B92" i="3"/>
  <c r="B90" i="3" s="1"/>
  <c r="G41" i="14"/>
  <c r="B110" i="9"/>
  <c r="B100" i="9"/>
  <c r="B99" i="9"/>
  <c r="B98" i="9"/>
  <c r="B97" i="9"/>
  <c r="G39" i="10"/>
  <c r="C8" i="18"/>
  <c r="C5" i="18"/>
  <c r="C4" i="18"/>
  <c r="C3" i="18"/>
  <c r="C6" i="18"/>
  <c r="A7" i="11"/>
  <c r="A7" i="10"/>
  <c r="A7" i="3"/>
  <c r="D52" i="2"/>
  <c r="B47" i="3"/>
  <c r="D47" i="3"/>
  <c r="G47" i="3"/>
  <c r="A7" i="14"/>
  <c r="C37" i="11"/>
  <c r="C36" i="11"/>
  <c r="B63" i="11"/>
  <c r="C35" i="11"/>
  <c r="C34" i="11"/>
  <c r="C33" i="11"/>
  <c r="C32" i="11"/>
  <c r="B59" i="11"/>
  <c r="C31" i="11"/>
  <c r="C30" i="11"/>
  <c r="C29" i="11"/>
  <c r="C28" i="11"/>
  <c r="B55" i="11"/>
  <c r="C39" i="10"/>
  <c r="C38" i="10"/>
  <c r="C37" i="10"/>
  <c r="C36" i="10"/>
  <c r="B63" i="10"/>
  <c r="C35" i="10"/>
  <c r="C34" i="10"/>
  <c r="C33" i="10"/>
  <c r="C32" i="10"/>
  <c r="B59" i="10"/>
  <c r="C31" i="10"/>
  <c r="C30" i="10"/>
  <c r="B37" i="3"/>
  <c r="B36" i="3"/>
  <c r="C64" i="3"/>
  <c r="B35" i="3"/>
  <c r="B34" i="3"/>
  <c r="B33" i="3"/>
  <c r="B32" i="3"/>
  <c r="C60" i="3"/>
  <c r="B31" i="3"/>
  <c r="B30" i="3"/>
  <c r="B29" i="3"/>
  <c r="B28" i="3"/>
  <c r="C56" i="3"/>
  <c r="I67" i="9"/>
  <c r="I75" i="9" s="1"/>
  <c r="B43" i="2"/>
  <c r="B70" i="2"/>
  <c r="B42" i="2"/>
  <c r="B69" i="2"/>
  <c r="B41" i="2"/>
  <c r="B68" i="2"/>
  <c r="B40" i="2"/>
  <c r="B67" i="2"/>
  <c r="B39" i="2"/>
  <c r="B38" i="2"/>
  <c r="B65" i="2"/>
  <c r="B37" i="2"/>
  <c r="B64" i="2"/>
  <c r="B36" i="2"/>
  <c r="B35" i="2"/>
  <c r="B62" i="2"/>
  <c r="B34" i="2"/>
  <c r="B61" i="2"/>
  <c r="H43" i="9"/>
  <c r="H35" i="9"/>
  <c r="H34" i="9"/>
  <c r="B43" i="9"/>
  <c r="C62" i="9"/>
  <c r="B42" i="9"/>
  <c r="C61" i="9"/>
  <c r="B41" i="9"/>
  <c r="B40" i="9"/>
  <c r="B39" i="9"/>
  <c r="C58" i="9"/>
  <c r="B38" i="9"/>
  <c r="B37" i="9"/>
  <c r="B36" i="9"/>
  <c r="B35" i="9"/>
  <c r="C54" i="9"/>
  <c r="B34" i="9"/>
  <c r="B35" i="14"/>
  <c r="H54" i="14"/>
  <c r="H53" i="14"/>
  <c r="H52" i="14"/>
  <c r="H51" i="14"/>
  <c r="H50" i="14"/>
  <c r="H49" i="14"/>
  <c r="H48" i="14"/>
  <c r="H47" i="14"/>
  <c r="H46" i="14"/>
  <c r="H45" i="14"/>
  <c r="B54" i="14"/>
  <c r="B53" i="14"/>
  <c r="B52" i="14"/>
  <c r="B51" i="14"/>
  <c r="B50" i="14"/>
  <c r="B49" i="14"/>
  <c r="B48" i="14"/>
  <c r="B47" i="14"/>
  <c r="B46" i="14"/>
  <c r="B45" i="14"/>
  <c r="B41" i="14"/>
  <c r="B40" i="14"/>
  <c r="C73" i="14"/>
  <c r="B39" i="14"/>
  <c r="B38" i="14"/>
  <c r="C71" i="14"/>
  <c r="B37" i="14"/>
  <c r="B36" i="14"/>
  <c r="C69" i="14"/>
  <c r="B34" i="14"/>
  <c r="C67" i="14"/>
  <c r="B33" i="14"/>
  <c r="B32" i="14"/>
  <c r="I81" i="9"/>
  <c r="I80" i="9"/>
  <c r="I82" i="9" s="1"/>
  <c r="B109" i="9"/>
  <c r="B108" i="9"/>
  <c r="B107" i="9"/>
  <c r="F106" i="9"/>
  <c r="E106" i="9" s="1"/>
  <c r="D106" i="9" s="1"/>
  <c r="C106" i="9" s="1"/>
  <c r="G106" i="9"/>
  <c r="H106" i="9"/>
  <c r="I106" i="9"/>
  <c r="F96" i="9"/>
  <c r="G96" i="9" s="1"/>
  <c r="H96" i="9" s="1"/>
  <c r="I96" i="9" s="1"/>
  <c r="D94" i="9"/>
  <c r="D104" i="9"/>
  <c r="C74" i="14"/>
  <c r="C72" i="14"/>
  <c r="C70" i="14"/>
  <c r="C68" i="14"/>
  <c r="C66" i="14"/>
  <c r="C65" i="14"/>
  <c r="K20" i="14"/>
  <c r="F87" i="11"/>
  <c r="F84" i="11"/>
  <c r="G76" i="11"/>
  <c r="B64" i="11"/>
  <c r="B62" i="11"/>
  <c r="B61" i="11"/>
  <c r="B60" i="11"/>
  <c r="B58" i="11"/>
  <c r="B57" i="11"/>
  <c r="B56" i="11"/>
  <c r="C46" i="11"/>
  <c r="G46" i="11"/>
  <c r="E46" i="11"/>
  <c r="B66" i="10"/>
  <c r="E101" i="10"/>
  <c r="F89" i="10"/>
  <c r="F86" i="10"/>
  <c r="G78" i="10"/>
  <c r="B65" i="10"/>
  <c r="B64" i="10"/>
  <c r="B62" i="10"/>
  <c r="B61" i="10"/>
  <c r="B60" i="10"/>
  <c r="B58" i="10"/>
  <c r="B57" i="10"/>
  <c r="B48" i="10"/>
  <c r="F48" i="10"/>
  <c r="D48" i="10"/>
  <c r="E99" i="11"/>
  <c r="E110" i="10"/>
  <c r="D111" i="10"/>
  <c r="D86" i="9"/>
  <c r="E86" i="9" s="1"/>
  <c r="F86" i="9" s="1"/>
  <c r="G86" i="9" s="1"/>
  <c r="H86" i="9" s="1"/>
  <c r="I86" i="9" s="1"/>
  <c r="G73" i="9"/>
  <c r="E72" i="9"/>
  <c r="E73" i="9"/>
  <c r="I73" i="9"/>
  <c r="G72" i="9"/>
  <c r="I72" i="9"/>
  <c r="F43" i="9"/>
  <c r="E62" i="9"/>
  <c r="K21" i="9"/>
  <c r="K20" i="9"/>
  <c r="G41" i="9"/>
  <c r="E60" i="9"/>
  <c r="B88" i="9"/>
  <c r="B89" i="9" s="1"/>
  <c r="B90" i="9" s="1"/>
  <c r="B91" i="9" s="1"/>
  <c r="B92" i="9" s="1"/>
  <c r="I68" i="9"/>
  <c r="I66" i="9"/>
  <c r="I65" i="9"/>
  <c r="I64" i="9"/>
  <c r="G62" i="9"/>
  <c r="H62" i="9" s="1"/>
  <c r="C60" i="9"/>
  <c r="C59" i="9"/>
  <c r="C57" i="9"/>
  <c r="C56" i="9"/>
  <c r="C55" i="9"/>
  <c r="G54" i="9"/>
  <c r="G53" i="9"/>
  <c r="C53" i="9"/>
  <c r="G38" i="9"/>
  <c r="E57" i="9"/>
  <c r="G35" i="9"/>
  <c r="E54" i="9"/>
  <c r="H54" i="9"/>
  <c r="C65" i="3"/>
  <c r="C63" i="3"/>
  <c r="C62" i="3"/>
  <c r="C61" i="3"/>
  <c r="C59" i="3"/>
  <c r="C58" i="3"/>
  <c r="C57" i="3"/>
  <c r="B66" i="2"/>
  <c r="B63" i="2"/>
  <c r="G74" i="3"/>
  <c r="F93" i="2"/>
  <c r="F90" i="2"/>
  <c r="G82" i="2"/>
  <c r="B52" i="2"/>
  <c r="E111" i="11"/>
  <c r="E99" i="3"/>
  <c r="D99" i="3" s="1"/>
  <c r="F85" i="3"/>
  <c r="F82" i="3"/>
  <c r="B111" i="9"/>
  <c r="B112" i="9"/>
  <c r="G37" i="9"/>
  <c r="E56" i="9"/>
  <c r="G36" i="9"/>
  <c r="E55" i="9"/>
  <c r="G40" i="9"/>
  <c r="E59" i="9"/>
  <c r="G39" i="9"/>
  <c r="E58" i="9"/>
  <c r="H58" i="9"/>
  <c r="G42" i="9"/>
  <c r="E61" i="9"/>
  <c r="G34" i="9"/>
  <c r="E53" i="9"/>
  <c r="H53" i="9"/>
  <c r="H99" i="3"/>
  <c r="F99" i="3"/>
  <c r="C99" i="3"/>
  <c r="H63" i="11"/>
  <c r="E69" i="14"/>
  <c r="H66" i="14"/>
  <c r="H65" i="14"/>
  <c r="H61" i="9"/>
  <c r="H55" i="9"/>
  <c r="H58" i="11"/>
  <c r="H73" i="14"/>
  <c r="H69" i="14"/>
  <c r="D95" i="14"/>
  <c r="E95" i="14"/>
  <c r="F95" i="14"/>
  <c r="G95" i="14"/>
  <c r="H95" i="14"/>
  <c r="I95" i="14" s="1"/>
  <c r="H74" i="14"/>
  <c r="G85" i="14"/>
  <c r="C95" i="14"/>
  <c r="F52" i="2"/>
  <c r="G98" i="2"/>
  <c r="B101" i="9"/>
  <c r="B102" i="9"/>
  <c r="D98" i="2"/>
  <c r="D90" i="11" l="1"/>
  <c r="F111" i="11"/>
  <c r="I101" i="11"/>
  <c r="D111" i="11"/>
  <c r="E90" i="11"/>
  <c r="G90" i="11"/>
  <c r="F101" i="11"/>
  <c r="H101" i="11"/>
  <c r="I48" i="11"/>
  <c r="E101" i="11"/>
  <c r="D101" i="11"/>
  <c r="H90" i="11"/>
  <c r="I90" i="11" s="1"/>
  <c r="G101" i="11"/>
  <c r="G111" i="11"/>
  <c r="H111" i="11"/>
  <c r="F90" i="11"/>
  <c r="E109" i="11"/>
  <c r="C95" i="11"/>
  <c r="I53" i="11"/>
  <c r="C91" i="11"/>
  <c r="C92" i="11"/>
  <c r="C93" i="11"/>
  <c r="G51" i="10"/>
  <c r="I51" i="10" s="1"/>
  <c r="I52" i="10" s="1"/>
  <c r="F93" i="10"/>
  <c r="E93" i="10"/>
  <c r="F102" i="10"/>
  <c r="G111" i="10"/>
  <c r="H93" i="10"/>
  <c r="I93" i="10" s="1"/>
  <c r="H102" i="10"/>
  <c r="I102" i="10"/>
  <c r="E102" i="10"/>
  <c r="I111" i="10"/>
  <c r="G102" i="10"/>
  <c r="H111" i="10"/>
  <c r="E111" i="10"/>
  <c r="F111" i="10"/>
  <c r="D93" i="10"/>
  <c r="D102" i="10"/>
  <c r="G93" i="10"/>
  <c r="F109" i="3"/>
  <c r="G109" i="3" s="1"/>
  <c r="H109" i="3" s="1"/>
  <c r="C109" i="3"/>
  <c r="D109" i="3"/>
  <c r="C89" i="3"/>
  <c r="G89" i="3"/>
  <c r="H89" i="3"/>
  <c r="D89" i="3"/>
  <c r="G99" i="3"/>
  <c r="B94" i="3"/>
  <c r="B91" i="3"/>
  <c r="B93" i="3"/>
  <c r="D119" i="2"/>
  <c r="G119" i="2"/>
  <c r="E98" i="2"/>
  <c r="D109" i="2"/>
  <c r="F98" i="2"/>
  <c r="F119" i="2"/>
  <c r="E119" i="2"/>
  <c r="H109" i="2"/>
  <c r="H119" i="2"/>
  <c r="I109" i="2"/>
  <c r="E109" i="2"/>
  <c r="I119" i="2"/>
  <c r="G109" i="2"/>
  <c r="H98" i="2"/>
  <c r="I98" i="2" s="1"/>
  <c r="I54" i="2"/>
  <c r="C101" i="2"/>
  <c r="E107" i="2"/>
  <c r="C99" i="2"/>
  <c r="C100" i="2"/>
  <c r="C102" i="2"/>
  <c r="E117" i="2"/>
  <c r="C103" i="2"/>
  <c r="E96" i="9"/>
  <c r="D96" i="9" s="1"/>
  <c r="C96" i="9" s="1"/>
  <c r="C86" i="9"/>
  <c r="G70" i="14"/>
  <c r="H70" i="14" s="1"/>
  <c r="I75" i="14" s="1"/>
  <c r="B97" i="14"/>
  <c r="B98" i="14" s="1"/>
  <c r="B99" i="14" s="1"/>
  <c r="B100" i="14" s="1"/>
  <c r="B101" i="14" s="1"/>
  <c r="H101" i="14" s="1"/>
  <c r="I54" i="11"/>
  <c r="I55" i="3"/>
  <c r="I70" i="3" s="1"/>
  <c r="I75" i="3" s="1"/>
  <c r="C87" i="9"/>
  <c r="I88" i="9"/>
  <c r="C88" i="9"/>
  <c r="D91" i="9"/>
  <c r="E92" i="9"/>
  <c r="H87" i="9"/>
  <c r="I90" i="9"/>
  <c r="I92" i="9"/>
  <c r="C92" i="9"/>
  <c r="F101" i="14"/>
  <c r="H96" i="14"/>
  <c r="E100" i="14"/>
  <c r="D98" i="14"/>
  <c r="I98" i="14"/>
  <c r="G100" i="14"/>
  <c r="H97" i="14"/>
  <c r="C96" i="14"/>
  <c r="D99" i="14"/>
  <c r="I96" i="14"/>
  <c r="E101" i="14"/>
  <c r="I56" i="10"/>
  <c r="I60" i="2"/>
  <c r="I77" i="2" s="1"/>
  <c r="I71" i="11"/>
  <c r="I73" i="10"/>
  <c r="C99" i="14"/>
  <c r="F99" i="14"/>
  <c r="D100" i="14"/>
  <c r="I99" i="14"/>
  <c r="C98" i="14"/>
  <c r="D101" i="14"/>
  <c r="E97" i="14"/>
  <c r="F97" i="14"/>
  <c r="G96" i="14"/>
  <c r="E99" i="14"/>
  <c r="D96" i="14"/>
  <c r="D97" i="14"/>
  <c r="H100" i="14"/>
  <c r="C97" i="14"/>
  <c r="C101" i="14"/>
  <c r="E98" i="14"/>
  <c r="H98" i="14"/>
  <c r="F98" i="14"/>
  <c r="F100" i="14"/>
  <c r="G97" i="14"/>
  <c r="I100" i="14"/>
  <c r="E96" i="14"/>
  <c r="I101" i="14"/>
  <c r="F96" i="14"/>
  <c r="D89" i="9"/>
  <c r="C90" i="9"/>
  <c r="H91" i="9"/>
  <c r="F87" i="9"/>
  <c r="E87" i="9"/>
  <c r="H92" i="9"/>
  <c r="D92" i="9"/>
  <c r="E91" i="9"/>
  <c r="E90" i="9"/>
  <c r="I91" i="9"/>
  <c r="E88" i="9"/>
  <c r="D87" i="9"/>
  <c r="I89" i="9"/>
  <c r="C89" i="9"/>
  <c r="G89" i="9"/>
  <c r="F91" i="9"/>
  <c r="E89" i="9"/>
  <c r="F89" i="9"/>
  <c r="G90" i="9"/>
  <c r="H90" i="9"/>
  <c r="I87" i="9"/>
  <c r="G92" i="9"/>
  <c r="G88" i="9"/>
  <c r="I63" i="9"/>
  <c r="H88" i="9"/>
  <c r="C91" i="9"/>
  <c r="D88" i="9"/>
  <c r="F88" i="9"/>
  <c r="G91" i="9"/>
  <c r="F90" i="9"/>
  <c r="F92" i="9"/>
  <c r="D90" i="9"/>
  <c r="H89" i="9"/>
  <c r="G87" i="9"/>
  <c r="G49" i="11" l="1"/>
  <c r="I49" i="11" s="1"/>
  <c r="I50" i="11" s="1"/>
  <c r="I73" i="11" s="1"/>
  <c r="G55" i="2"/>
  <c r="I55" i="2" s="1"/>
  <c r="I56" i="2"/>
  <c r="G98" i="14"/>
  <c r="C100" i="14"/>
  <c r="G101" i="14"/>
  <c r="G99" i="14"/>
  <c r="I97" i="14"/>
  <c r="H99" i="14"/>
  <c r="I77" i="3"/>
  <c r="C92" i="3" s="1"/>
  <c r="I71" i="3"/>
  <c r="I81" i="14"/>
  <c r="I85" i="14" s="1"/>
  <c r="I86" i="14"/>
  <c r="I74" i="9"/>
  <c r="I69" i="9"/>
  <c r="I75" i="10"/>
  <c r="I81" i="10"/>
  <c r="I79" i="10"/>
  <c r="I79" i="11"/>
  <c r="I77" i="11"/>
  <c r="H92" i="3"/>
  <c r="I79" i="2"/>
  <c r="I85" i="2"/>
  <c r="I83" i="2"/>
  <c r="H83" i="11" l="1"/>
  <c r="H89" i="2"/>
  <c r="C90" i="3"/>
  <c r="G90" i="3"/>
  <c r="C94" i="3"/>
  <c r="G83" i="3"/>
  <c r="B102" i="3" s="1"/>
  <c r="F90" i="3"/>
  <c r="E93" i="3"/>
  <c r="E91" i="3"/>
  <c r="D94" i="3"/>
  <c r="H93" i="3"/>
  <c r="E94" i="3"/>
  <c r="H84" i="3"/>
  <c r="G93" i="3"/>
  <c r="F93" i="3"/>
  <c r="F91" i="3"/>
  <c r="I79" i="3"/>
  <c r="E90" i="3"/>
  <c r="H91" i="3"/>
  <c r="G91" i="3"/>
  <c r="G94" i="3"/>
  <c r="H94" i="3"/>
  <c r="G92" i="3"/>
  <c r="D93" i="3"/>
  <c r="C91" i="3"/>
  <c r="D90" i="3"/>
  <c r="H90" i="3"/>
  <c r="F92" i="3"/>
  <c r="C93" i="3"/>
  <c r="F94" i="3"/>
  <c r="I78" i="3"/>
  <c r="H81" i="3" s="1"/>
  <c r="D92" i="3"/>
  <c r="D91" i="3"/>
  <c r="E92" i="3"/>
  <c r="I88" i="14"/>
  <c r="I89" i="14" s="1"/>
  <c r="I76" i="9"/>
  <c r="I77" i="9" s="1"/>
  <c r="I87" i="2"/>
  <c r="I81" i="11"/>
  <c r="I83" i="10"/>
  <c r="I86" i="2"/>
  <c r="G91" i="2" s="1"/>
  <c r="H92" i="2"/>
  <c r="E102" i="2"/>
  <c r="D103" i="2"/>
  <c r="G102" i="2"/>
  <c r="H103" i="2"/>
  <c r="G103" i="2"/>
  <c r="G100" i="2"/>
  <c r="G101" i="2"/>
  <c r="E101" i="2"/>
  <c r="H102" i="2"/>
  <c r="D102" i="2"/>
  <c r="I100" i="2"/>
  <c r="F101" i="2"/>
  <c r="I99" i="2"/>
  <c r="I102" i="2"/>
  <c r="F100" i="2"/>
  <c r="F99" i="2"/>
  <c r="D99" i="2"/>
  <c r="E103" i="2"/>
  <c r="H101" i="2"/>
  <c r="D100" i="2"/>
  <c r="I101" i="2"/>
  <c r="E99" i="2"/>
  <c r="I103" i="2"/>
  <c r="G99" i="2"/>
  <c r="H99" i="2"/>
  <c r="H100" i="2"/>
  <c r="F103" i="2"/>
  <c r="E100" i="2"/>
  <c r="D101" i="2"/>
  <c r="F102" i="2"/>
  <c r="I82" i="10"/>
  <c r="F98" i="10"/>
  <c r="E97" i="10"/>
  <c r="E98" i="10"/>
  <c r="F97" i="10"/>
  <c r="F95" i="10"/>
  <c r="I96" i="10"/>
  <c r="G98" i="10"/>
  <c r="I94" i="10"/>
  <c r="I98" i="10"/>
  <c r="F96" i="10"/>
  <c r="I95" i="10"/>
  <c r="G95" i="10"/>
  <c r="H94" i="10"/>
  <c r="D94" i="10"/>
  <c r="H96" i="10"/>
  <c r="H95" i="10"/>
  <c r="I97" i="10"/>
  <c r="G96" i="10"/>
  <c r="H98" i="10"/>
  <c r="E96" i="10"/>
  <c r="F94" i="10"/>
  <c r="D96" i="10"/>
  <c r="G97" i="10"/>
  <c r="D98" i="10"/>
  <c r="H97" i="10"/>
  <c r="E95" i="10"/>
  <c r="G94" i="10"/>
  <c r="D95" i="10"/>
  <c r="D97" i="10"/>
  <c r="E94" i="10"/>
  <c r="I80" i="11"/>
  <c r="D92" i="11"/>
  <c r="F95" i="11"/>
  <c r="H95" i="11"/>
  <c r="G93" i="11"/>
  <c r="F94" i="11"/>
  <c r="H94" i="11"/>
  <c r="F93" i="11"/>
  <c r="E94" i="11"/>
  <c r="H86" i="11"/>
  <c r="F92" i="11"/>
  <c r="G94" i="11"/>
  <c r="D95" i="11"/>
  <c r="E92" i="11"/>
  <c r="I95" i="11"/>
  <c r="D91" i="11"/>
  <c r="I92" i="11"/>
  <c r="I91" i="11"/>
  <c r="G85" i="11"/>
  <c r="G92" i="11"/>
  <c r="E93" i="11"/>
  <c r="H93" i="11"/>
  <c r="G95" i="11"/>
  <c r="I94" i="11"/>
  <c r="E95" i="11"/>
  <c r="D93" i="11"/>
  <c r="F91" i="11"/>
  <c r="G91" i="11"/>
  <c r="D94" i="11"/>
  <c r="H91" i="11"/>
  <c r="H92" i="11"/>
  <c r="I93" i="11"/>
  <c r="E91" i="11"/>
  <c r="B112" i="3" l="1"/>
  <c r="B111" i="3" s="1"/>
  <c r="B104" i="3"/>
  <c r="B103" i="3"/>
  <c r="F102" i="3"/>
  <c r="G102" i="3"/>
  <c r="E102" i="3"/>
  <c r="B101" i="3"/>
  <c r="H102" i="3"/>
  <c r="D102" i="3"/>
  <c r="B100" i="3"/>
  <c r="C102" i="3"/>
  <c r="G110" i="2"/>
  <c r="F113" i="2"/>
  <c r="D111" i="2"/>
  <c r="G121" i="2"/>
  <c r="C112" i="2"/>
  <c r="I124" i="2"/>
  <c r="I121" i="2"/>
  <c r="D113" i="2"/>
  <c r="H112" i="2"/>
  <c r="G120" i="2"/>
  <c r="G111" i="2"/>
  <c r="F123" i="2"/>
  <c r="F112" i="2"/>
  <c r="F111" i="2"/>
  <c r="E123" i="2"/>
  <c r="D114" i="2"/>
  <c r="E122" i="2"/>
  <c r="G122" i="2"/>
  <c r="E111" i="2"/>
  <c r="E121" i="2"/>
  <c r="I110" i="2"/>
  <c r="I113" i="2"/>
  <c r="G113" i="2"/>
  <c r="C114" i="2"/>
  <c r="D112" i="2"/>
  <c r="I111" i="2"/>
  <c r="E124" i="2"/>
  <c r="C121" i="2"/>
  <c r="I112" i="2"/>
  <c r="H120" i="2"/>
  <c r="C111" i="2"/>
  <c r="I123" i="2"/>
  <c r="E112" i="2"/>
  <c r="E120" i="2"/>
  <c r="H124" i="2"/>
  <c r="C123" i="2"/>
  <c r="F110" i="2"/>
  <c r="H114" i="2"/>
  <c r="G112" i="2"/>
  <c r="C113" i="2"/>
  <c r="H123" i="2"/>
  <c r="H111" i="2"/>
  <c r="D123" i="2"/>
  <c r="D120" i="2"/>
  <c r="D121" i="2"/>
  <c r="C122" i="2"/>
  <c r="D122" i="2"/>
  <c r="I122" i="2"/>
  <c r="D124" i="2"/>
  <c r="G124" i="2"/>
  <c r="G114" i="2"/>
  <c r="E110" i="2"/>
  <c r="F124" i="2"/>
  <c r="E114" i="2"/>
  <c r="I114" i="2"/>
  <c r="G123" i="2"/>
  <c r="F121" i="2"/>
  <c r="D110" i="2"/>
  <c r="C124" i="2"/>
  <c r="H110" i="2"/>
  <c r="F122" i="2"/>
  <c r="H122" i="2"/>
  <c r="F114" i="2"/>
  <c r="C120" i="2"/>
  <c r="I120" i="2" s="1"/>
  <c r="F120" i="2"/>
  <c r="H121" i="2"/>
  <c r="H113" i="2"/>
  <c r="C110" i="2"/>
  <c r="E113" i="2"/>
  <c r="G103" i="11"/>
  <c r="H115" i="11"/>
  <c r="H112" i="11"/>
  <c r="G115" i="11"/>
  <c r="E105" i="11"/>
  <c r="H105" i="11"/>
  <c r="D113" i="11"/>
  <c r="F113" i="11"/>
  <c r="F116" i="11"/>
  <c r="E103" i="11"/>
  <c r="F104" i="11"/>
  <c r="E116" i="11"/>
  <c r="C103" i="11"/>
  <c r="E112" i="11"/>
  <c r="D106" i="11"/>
  <c r="D102" i="11"/>
  <c r="I105" i="11"/>
  <c r="I114" i="11"/>
  <c r="C112" i="11"/>
  <c r="I112" i="11" s="1"/>
  <c r="F105" i="11"/>
  <c r="D104" i="11"/>
  <c r="F114" i="11"/>
  <c r="I115" i="11"/>
  <c r="C113" i="11"/>
  <c r="D112" i="11"/>
  <c r="I102" i="11"/>
  <c r="F115" i="11"/>
  <c r="C106" i="11"/>
  <c r="H106" i="11"/>
  <c r="C115" i="11"/>
  <c r="G102" i="11"/>
  <c r="H113" i="11"/>
  <c r="F106" i="11"/>
  <c r="E113" i="11"/>
  <c r="G114" i="11"/>
  <c r="H103" i="11"/>
  <c r="C114" i="11"/>
  <c r="I104" i="11"/>
  <c r="G116" i="11"/>
  <c r="C105" i="11"/>
  <c r="I103" i="11"/>
  <c r="G105" i="11"/>
  <c r="H102" i="11"/>
  <c r="E115" i="11"/>
  <c r="D116" i="11"/>
  <c r="E106" i="11"/>
  <c r="I106" i="11"/>
  <c r="G104" i="11"/>
  <c r="I113" i="11"/>
  <c r="H104" i="11"/>
  <c r="C116" i="11"/>
  <c r="D105" i="11"/>
  <c r="D115" i="11"/>
  <c r="G113" i="11"/>
  <c r="D103" i="11"/>
  <c r="G106" i="11"/>
  <c r="H114" i="11"/>
  <c r="F102" i="11"/>
  <c r="F103" i="11"/>
  <c r="D114" i="11"/>
  <c r="E102" i="11"/>
  <c r="H116" i="11"/>
  <c r="C102" i="11"/>
  <c r="F112" i="11"/>
  <c r="E104" i="11"/>
  <c r="G112" i="11"/>
  <c r="I116" i="11"/>
  <c r="C104" i="11"/>
  <c r="E114" i="11"/>
  <c r="H88" i="10"/>
  <c r="G87" i="10"/>
  <c r="H85" i="10"/>
  <c r="G112" i="3"/>
  <c r="E108" i="9"/>
  <c r="G99" i="9"/>
  <c r="C99" i="9"/>
  <c r="E107" i="9"/>
  <c r="D108" i="9"/>
  <c r="F97" i="9"/>
  <c r="F101" i="9"/>
  <c r="G100" i="9"/>
  <c r="F107" i="9"/>
  <c r="G110" i="9"/>
  <c r="D101" i="9"/>
  <c r="I97" i="9"/>
  <c r="G101" i="9"/>
  <c r="D109" i="9"/>
  <c r="H107" i="9"/>
  <c r="G107" i="9"/>
  <c r="C108" i="9"/>
  <c r="E111" i="9"/>
  <c r="D107" i="9"/>
  <c r="F99" i="9"/>
  <c r="E109" i="9"/>
  <c r="H111" i="9"/>
  <c r="E99" i="9"/>
  <c r="G109" i="9"/>
  <c r="I109" i="9"/>
  <c r="E98" i="9"/>
  <c r="H109" i="9"/>
  <c r="C110" i="9"/>
  <c r="F100" i="9"/>
  <c r="G112" i="9"/>
  <c r="I111" i="9"/>
  <c r="C111" i="9"/>
  <c r="I101" i="9"/>
  <c r="I102" i="9"/>
  <c r="G98" i="9"/>
  <c r="F112" i="9"/>
  <c r="C107" i="9"/>
  <c r="F110" i="9"/>
  <c r="C101" i="9"/>
  <c r="D97" i="9"/>
  <c r="H110" i="9"/>
  <c r="D112" i="9"/>
  <c r="G97" i="9"/>
  <c r="I110" i="9"/>
  <c r="E102" i="9"/>
  <c r="D111" i="9"/>
  <c r="G108" i="9"/>
  <c r="H108" i="9"/>
  <c r="C97" i="9"/>
  <c r="E112" i="9"/>
  <c r="I107" i="9"/>
  <c r="H112" i="9"/>
  <c r="E100" i="9"/>
  <c r="D100" i="9"/>
  <c r="G111" i="9"/>
  <c r="I98" i="9"/>
  <c r="F108" i="9"/>
  <c r="H99" i="9"/>
  <c r="G102" i="9"/>
  <c r="E97" i="9"/>
  <c r="E110" i="9"/>
  <c r="F102" i="9"/>
  <c r="E101" i="9"/>
  <c r="I108" i="9"/>
  <c r="C112" i="9"/>
  <c r="H97" i="9"/>
  <c r="H98" i="9"/>
  <c r="D99" i="9"/>
  <c r="F111" i="9"/>
  <c r="D110" i="9"/>
  <c r="I99" i="9"/>
  <c r="H101" i="9"/>
  <c r="C102" i="9"/>
  <c r="D102" i="9"/>
  <c r="C100" i="9"/>
  <c r="I100" i="9"/>
  <c r="D98" i="9"/>
  <c r="F109" i="9"/>
  <c r="H102" i="9"/>
  <c r="C98" i="9"/>
  <c r="F98" i="9"/>
  <c r="H100" i="9"/>
  <c r="I112" i="9"/>
  <c r="C109" i="9"/>
  <c r="B114" i="3" l="1"/>
  <c r="H114" i="3" s="1"/>
  <c r="E112" i="3"/>
  <c r="B113" i="3"/>
  <c r="C112" i="3"/>
  <c r="D112" i="3"/>
  <c r="H112" i="3"/>
  <c r="B110" i="3"/>
  <c r="G110" i="3" s="1"/>
  <c r="F112" i="3"/>
  <c r="C100" i="3"/>
  <c r="H100" i="3"/>
  <c r="F100" i="3"/>
  <c r="E100" i="3"/>
  <c r="D100" i="3"/>
  <c r="G100" i="3"/>
  <c r="D104" i="3"/>
  <c r="H104" i="3"/>
  <c r="E104" i="3"/>
  <c r="C104" i="3"/>
  <c r="G104" i="3"/>
  <c r="F104" i="3"/>
  <c r="H111" i="3"/>
  <c r="E111" i="3"/>
  <c r="C111" i="3"/>
  <c r="F111" i="3"/>
  <c r="D111" i="3"/>
  <c r="G111" i="3"/>
  <c r="D112" i="10"/>
  <c r="H106" i="10"/>
  <c r="F113" i="10"/>
  <c r="E112" i="10"/>
  <c r="D106" i="10"/>
  <c r="E103" i="10"/>
  <c r="I115" i="10"/>
  <c r="I105" i="10"/>
  <c r="F107" i="10"/>
  <c r="I113" i="10"/>
  <c r="I104" i="10"/>
  <c r="D105" i="10"/>
  <c r="D107" i="10"/>
  <c r="G107" i="10"/>
  <c r="G104" i="10"/>
  <c r="E104" i="10"/>
  <c r="F112" i="10"/>
  <c r="H114" i="10"/>
  <c r="F114" i="10"/>
  <c r="F104" i="10"/>
  <c r="G113" i="10"/>
  <c r="D114" i="10"/>
  <c r="D115" i="10"/>
  <c r="E116" i="10"/>
  <c r="C104" i="10"/>
  <c r="G106" i="10"/>
  <c r="E107" i="10"/>
  <c r="D116" i="10"/>
  <c r="C106" i="10"/>
  <c r="I114" i="10"/>
  <c r="I116" i="10"/>
  <c r="F116" i="10"/>
  <c r="D103" i="10"/>
  <c r="G105" i="10"/>
  <c r="I103" i="10"/>
  <c r="D104" i="10"/>
  <c r="H103" i="10"/>
  <c r="I107" i="10"/>
  <c r="H116" i="10"/>
  <c r="C115" i="10"/>
  <c r="C113" i="10"/>
  <c r="E115" i="10"/>
  <c r="C116" i="10"/>
  <c r="E113" i="10"/>
  <c r="F115" i="10"/>
  <c r="G112" i="10"/>
  <c r="H107" i="10"/>
  <c r="H112" i="10"/>
  <c r="C112" i="10"/>
  <c r="I112" i="10" s="1"/>
  <c r="C114" i="10"/>
  <c r="I106" i="10"/>
  <c r="F103" i="10"/>
  <c r="G103" i="10"/>
  <c r="H113" i="10"/>
  <c r="C105" i="10"/>
  <c r="F105" i="10"/>
  <c r="E114" i="10"/>
  <c r="H104" i="10"/>
  <c r="C107" i="10"/>
  <c r="H115" i="10"/>
  <c r="C103" i="10"/>
  <c r="E105" i="10"/>
  <c r="D113" i="10"/>
  <c r="H105" i="10"/>
  <c r="G114" i="10"/>
  <c r="G116" i="10"/>
  <c r="F106" i="10"/>
  <c r="E106" i="10"/>
  <c r="G115" i="10"/>
  <c r="H113" i="3"/>
  <c r="F113" i="3"/>
  <c r="D113" i="3"/>
  <c r="C113" i="3"/>
  <c r="E113" i="3"/>
  <c r="G113" i="3"/>
  <c r="D103" i="3"/>
  <c r="G103" i="3"/>
  <c r="C103" i="3"/>
  <c r="H103" i="3"/>
  <c r="E103" i="3"/>
  <c r="F103" i="3"/>
  <c r="C101" i="3"/>
  <c r="D101" i="3"/>
  <c r="E101" i="3"/>
  <c r="G101" i="3"/>
  <c r="H101" i="3"/>
  <c r="F101" i="3"/>
  <c r="D114" i="3" l="1"/>
  <c r="C114" i="3"/>
  <c r="F114" i="3"/>
  <c r="G114" i="3"/>
  <c r="E114" i="3"/>
  <c r="H110" i="3"/>
  <c r="F110" i="3"/>
  <c r="C110" i="3"/>
  <c r="E110" i="3"/>
  <c r="D11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Gessner</author>
    <author>Windows User</author>
  </authors>
  <commentList>
    <comment ref="C1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Bangs
Prebreed:
5-way, Lepto, Vibro
Ionophore
Other health expenses</t>
        </r>
      </text>
    </comment>
    <comment ref="C16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incurred at the sale barn (vet, insurance, yardage, feed, check off and commission) and/or expenses related to marketing bred heifers for sale-advertising, fliers, etc. </t>
        </r>
      </text>
    </comment>
    <comment ref="C17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Synchronization 
Heat detection patches
Semen
</t>
        </r>
      </text>
    </comment>
    <comment ref="H17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830 pounds at $1.44
</t>
        </r>
      </text>
    </comment>
    <comment ref="H18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Either enough bull power to breed heifers, or cleanup bulls. Number will vary. </t>
        </r>
      </text>
    </comment>
    <comment ref="H20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ASSUMES bull is used for 3 years, and then sold for salvage. 
</t>
        </r>
      </text>
    </comment>
    <comment ref="C24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Purchase price or Opportunity price of selling a raised heifer (Weight * Market price)</t>
        </r>
      </text>
    </comment>
    <comment ref="C26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Weaned November 2015
Moved to pasture June 2016
Pregcheck November 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1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pre-breeding vaccinations, pre-calving vaccinations, calf vaccinations up to weaning, and any other veterinarian expenses and medications used for the cowherd, including the calf, to weaning.
</t>
        </r>
      </text>
    </comment>
    <comment ref="C1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incurred at the sale barn (vet, insurance, yardage, feed, check off and commission) and/or any expenses related to marketing bred cows or utilizing risk management and marketing tools. 
</t>
        </r>
      </text>
    </comment>
    <comment ref="C1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Excludes bull costs. Include any synchronization and AI expenses.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1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Include: vaccinations, implants, pour-ons, and other veterinarian and drug expenses. </t>
        </r>
      </text>
    </comment>
    <comment ref="C2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related sale barn or marketing expenses. 
</t>
        </r>
      </text>
    </comment>
    <comment ref="C2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to purchase livestock insurance products or futures and option contract expenses.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2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vaccinations, implants, ionophore costs and other veterinarian and drug expenses.
</t>
        </r>
      </text>
    </comment>
    <comment ref="C2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sale barn related expenses. Include any livestock risk management protection expenses, i.e. insurance premium or cost of put options.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23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Include all sale barn expenses: yardage, feed, checkoff, and commission </t>
        </r>
      </text>
    </comment>
  </commentList>
</comments>
</file>

<file path=xl/sharedStrings.xml><?xml version="1.0" encoding="utf-8"?>
<sst xmlns="http://schemas.openxmlformats.org/spreadsheetml/2006/main" count="967" uniqueCount="383">
  <si>
    <t xml:space="preserve"> DESCRIPTION</t>
  </si>
  <si>
    <t xml:space="preserve"> # OF UNITS</t>
  </si>
  <si>
    <t xml:space="preserve">     # OF UNITS</t>
  </si>
  <si>
    <t>LIVESTOCK INCOME</t>
  </si>
  <si>
    <t>|</t>
  </si>
  <si>
    <t>(Budget is for one animal only.</t>
  </si>
  <si>
    <t>Enter values for only one animal</t>
  </si>
  <si>
    <t xml:space="preserve">or representative animal of </t>
  </si>
  <si>
    <t>herd.)</t>
  </si>
  <si>
    <t>OTHER COSTS</t>
  </si>
  <si>
    <t>RESULTS SECTION</t>
  </si>
  <si>
    <t xml:space="preserve">  I.  GROSS INCOME</t>
  </si>
  <si>
    <t>TOTAL INCOME</t>
  </si>
  <si>
    <t xml:space="preserve"> II.  OPERATING COSTS</t>
  </si>
  <si>
    <t xml:space="preserve"> </t>
  </si>
  <si>
    <t>cwt @</t>
  </si>
  <si>
    <t>Veterinary and drugs</t>
  </si>
  <si>
    <t>Supplies</t>
  </si>
  <si>
    <t>Marketing</t>
  </si>
  <si>
    <t>TOTAL DIRECT OPERATING COSTS</t>
  </si>
  <si>
    <t>III.  INCOME OVER DIRECT OPERATING COST (I minus II)</t>
  </si>
  <si>
    <t xml:space="preserve"> IV.  OTHER COSTS</t>
  </si>
  <si>
    <t>Effective Interest Rate</t>
  </si>
  <si>
    <t>Interest on Average Operating Capital Requirements</t>
  </si>
  <si>
    <t>Power and Utility Costs</t>
  </si>
  <si>
    <t>RETURN FOR LABOR &amp; FACILITIES</t>
  </si>
  <si>
    <t>Replacement charge per cow            (</t>
  </si>
  <si>
    <t>)</t>
  </si>
  <si>
    <t>Grain and forage</t>
  </si>
  <si>
    <t>(</t>
  </si>
  <si>
    <t>Other direct costs</t>
  </si>
  <si>
    <t>Hay</t>
  </si>
  <si>
    <t>Selling Price / cwt</t>
  </si>
  <si>
    <t>Depreciation, Insurance, and Misc. on Average Capital Requirements</t>
  </si>
  <si>
    <t xml:space="preserve">(Marketing = yardage, feed, $ checkoff, trucking, </t>
  </si>
  <si>
    <t>and commission)</t>
  </si>
  <si>
    <t>Hired labor</t>
  </si>
  <si>
    <t>Gain</t>
  </si>
  <si>
    <t>LIVESTOCK COSTS</t>
  </si>
  <si>
    <t>OTHER OPERATING COSTS</t>
  </si>
  <si>
    <t>Price Protection</t>
  </si>
  <si>
    <t>MISCELLANEOUS</t>
  </si>
  <si>
    <t>Yearling Steer or Heifer</t>
  </si>
  <si>
    <t>cwt X</t>
  </si>
  <si>
    <t>Death loss</t>
  </si>
  <si>
    <t xml:space="preserve">%  of  </t>
  </si>
  <si>
    <t>Steer or Heifer Calf</t>
  </si>
  <si>
    <t xml:space="preserve">cwt @ </t>
  </si>
  <si>
    <t>Price protection</t>
  </si>
  <si>
    <t>bu. @</t>
  </si>
  <si>
    <t>ton @</t>
  </si>
  <si>
    <t xml:space="preserve">     BREAKEVEN SELLING PRICE FOR YEARLING</t>
  </si>
  <si>
    <t>(When purchase price is</t>
  </si>
  <si>
    <t>/ cwt.)</t>
  </si>
  <si>
    <t>(cost of gain =</t>
  </si>
  <si>
    <t>cents per pound)</t>
  </si>
  <si>
    <t xml:space="preserve">     BREAKEVEN PURCHASE PRICE FOR FEEDER CALF</t>
  </si>
  <si>
    <t xml:space="preserve"> (When selling price is</t>
  </si>
  <si>
    <t xml:space="preserve">   RETURN TO LABOR, MANAGEMENT, AND FACILITIES </t>
  </si>
  <si>
    <t xml:space="preserve">        Selling Price / cwt with</t>
  </si>
  <si>
    <t>per hundredweight purchase price</t>
  </si>
  <si>
    <t>Months on Farm</t>
  </si>
  <si>
    <t xml:space="preserve">Slaughter Steer </t>
  </si>
  <si>
    <t>%  of</t>
  </si>
  <si>
    <t>Yearling Steer</t>
  </si>
  <si>
    <t xml:space="preserve">    Selling Price / cwt</t>
  </si>
  <si>
    <t>Selling Price / cwt with</t>
  </si>
  <si>
    <t>Hired Labor</t>
  </si>
  <si>
    <t>TOTAL FEED COST</t>
  </si>
  <si>
    <t>FEED COSTS</t>
  </si>
  <si>
    <t>TYPE</t>
  </si>
  <si>
    <t>cwt</t>
  </si>
  <si>
    <t>bu.</t>
  </si>
  <si>
    <t>ton</t>
  </si>
  <si>
    <t>Alfalfa</t>
  </si>
  <si>
    <t>Silage</t>
  </si>
  <si>
    <t>UNIT</t>
  </si>
  <si>
    <t xml:space="preserve"> Total Cwt sold:    </t>
  </si>
  <si>
    <t xml:space="preserve"> $/Cwt sold:        </t>
  </si>
  <si>
    <t xml:space="preserve"> Death loss, %:     </t>
  </si>
  <si>
    <t xml:space="preserve"> Total Cwt bought:  </t>
  </si>
  <si>
    <t xml:space="preserve"> $/Cwt bought:      </t>
  </si>
  <si>
    <t xml:space="preserve"> Vet.&amp; Drug expense:</t>
  </si>
  <si>
    <t xml:space="preserve"> Supplies purchased:</t>
  </si>
  <si>
    <t xml:space="preserve"> Marketing costs:   </t>
  </si>
  <si>
    <t xml:space="preserve"> Interest Rate:     </t>
  </si>
  <si>
    <t xml:space="preserve"> Power &amp; Util. cost:</t>
  </si>
  <si>
    <t xml:space="preserve"> Bldg&amp; Equip.Invest.</t>
  </si>
  <si>
    <t xml:space="preserve">Cost of Gain </t>
  </si>
  <si>
    <t>Cost of Gain</t>
  </si>
  <si>
    <t>Cost of Animal</t>
  </si>
  <si>
    <t>($/CWT)</t>
  </si>
  <si>
    <t>($/day)</t>
  </si>
  <si>
    <t>($/Day)</t>
  </si>
  <si>
    <t>Average Daily Gain</t>
  </si>
  <si>
    <t xml:space="preserve"> Interest Rate:              </t>
  </si>
  <si>
    <t xml:space="preserve"> Power &amp; Util. cost:    </t>
  </si>
  <si>
    <t xml:space="preserve"> Fixed Investment:       </t>
  </si>
  <si>
    <t xml:space="preserve"> Months on farm:        </t>
  </si>
  <si>
    <t>Feed Costs</t>
  </si>
  <si>
    <t>Pasture</t>
  </si>
  <si>
    <t>AUM</t>
  </si>
  <si>
    <t>(Cost  of  gain  =</t>
  </si>
  <si>
    <t>/cwt</t>
  </si>
  <si>
    <t>BREAKEVEN SELLING PRICE FOR SLAUGHTER STEER</t>
  </si>
  <si>
    <t>BREAKEVEN PURCHASE PRICE FOR YEARLING STEER</t>
  </si>
  <si>
    <t>Cost of Gain ($/day)</t>
  </si>
  <si>
    <t>Cost of Purchased Steer (cwt)</t>
  </si>
  <si>
    <t xml:space="preserve">RETURN TO LABOR, MANAGEMENT, AND FACILITIES </t>
  </si>
  <si>
    <t xml:space="preserve">Pounds in </t>
  </si>
  <si>
    <t>aum @</t>
  </si>
  <si>
    <t>Corn Stover</t>
  </si>
  <si>
    <t>Pounds Fed Daily</t>
  </si>
  <si>
    <t>Total Feed For Feeding Period</t>
  </si>
  <si>
    <t>Price Per Unit</t>
  </si>
  <si>
    <t>Unit</t>
  </si>
  <si>
    <t>days on the farm</t>
  </si>
  <si>
    <t>SHIPPING</t>
  </si>
  <si>
    <t>Fuel price</t>
  </si>
  <si>
    <t>Miles to Market (round trip)</t>
  </si>
  <si>
    <t>Miles per Gallon</t>
  </si>
  <si>
    <t>Shipping</t>
  </si>
  <si>
    <t># head in trailer</t>
  </si>
  <si>
    <t>cents per #)</t>
  </si>
  <si>
    <t>Pounds fed Daily</t>
  </si>
  <si>
    <t>Cow Herd Size</t>
  </si>
  <si>
    <t>Months on Winter Feed Ration</t>
  </si>
  <si>
    <t>Months on Pasture</t>
  </si>
  <si>
    <t>days on feed</t>
  </si>
  <si>
    <t>PRICE/ Unit</t>
  </si>
  <si>
    <t>days in pasture</t>
  </si>
  <si>
    <t>Breeding fees:</t>
  </si>
  <si>
    <t>Cost of Alfalfa</t>
  </si>
  <si>
    <t>TOTAL COW COSTS PER YEAR</t>
  </si>
  <si>
    <t>SHIPPING- TO PASTURE AND HOME</t>
  </si>
  <si>
    <t>Miles to pasture (round trip)</t>
  </si>
  <si>
    <t>Number of Bulls</t>
  </si>
  <si>
    <t>Bull Value</t>
  </si>
  <si>
    <t>Average bull value</t>
  </si>
  <si>
    <t>cows /</t>
  </si>
  <si>
    <t>Bulls =</t>
  </si>
  <si>
    <t>Culls =</t>
  </si>
  <si>
    <t>Indirect Costs</t>
  </si>
  <si>
    <t xml:space="preserve"> I.  OPERATING COSTS</t>
  </si>
  <si>
    <t>Number Culled Annually</t>
  </si>
  <si>
    <t>DIRECT OPERATING COSTS</t>
  </si>
  <si>
    <t>~interest, electric, depreciation</t>
  </si>
  <si>
    <t>Commercial Trucking ($/mile)</t>
  </si>
  <si>
    <t xml:space="preserve">Cost of Pasture </t>
  </si>
  <si>
    <t>INDIRECT COSTS</t>
  </si>
  <si>
    <t>Replacement Cow Value</t>
  </si>
  <si>
    <t>Value of Cull Cow</t>
  </si>
  <si>
    <t>HERD INFORMATION</t>
  </si>
  <si>
    <t>aum</t>
  </si>
  <si>
    <t>Heifer Herd Size</t>
  </si>
  <si>
    <t>Conception Rate</t>
  </si>
  <si>
    <t>Value of Cull Heifer</t>
  </si>
  <si>
    <t>Weaned Calf to Breeding Season</t>
  </si>
  <si>
    <t>Breeding Season to Fall Preg Check</t>
  </si>
  <si>
    <t>Total Feed Used</t>
  </si>
  <si>
    <t>Calf Weight</t>
  </si>
  <si>
    <t xml:space="preserve">Calf Prices ($/cwt) </t>
  </si>
  <si>
    <t>Weaning Percentage</t>
  </si>
  <si>
    <t xml:space="preserve">Income Per Cow - </t>
  </si>
  <si>
    <t>Calf Crop</t>
  </si>
  <si>
    <t>Replacement =</t>
  </si>
  <si>
    <t xml:space="preserve">IV. CHANGE IN FEED COSTS AS PASTURE AND/OR ALFALFA PRICES CHANGE </t>
  </si>
  <si>
    <t>Cull Cow income</t>
  </si>
  <si>
    <t>Expected price $/cwt</t>
  </si>
  <si>
    <t xml:space="preserve">CALF </t>
  </si>
  <si>
    <t>High Moisture Corn</t>
  </si>
  <si>
    <t>Dry Corn</t>
  </si>
  <si>
    <t>AUM@</t>
  </si>
  <si>
    <t xml:space="preserve">Shipping </t>
  </si>
  <si>
    <t>aum@</t>
  </si>
  <si>
    <t xml:space="preserve">Todays Date </t>
  </si>
  <si>
    <t>Pounds in</t>
  </si>
  <si>
    <t xml:space="preserve"> Months</t>
  </si>
  <si>
    <t>pounds per day</t>
  </si>
  <si>
    <t>Months</t>
  </si>
  <si>
    <t>CME 10/8</t>
  </si>
  <si>
    <t>basis</t>
  </si>
  <si>
    <t>price</t>
  </si>
  <si>
    <t>average</t>
  </si>
  <si>
    <t>70% of average</t>
  </si>
  <si>
    <t>Corn</t>
  </si>
  <si>
    <t>Western SD</t>
  </si>
  <si>
    <t>Alfalfa Large Round: Good 70.00; Fair 40.00-55.00. Large</t>
  </si>
  <si>
    <t>Squares: Premium 180.00-195.00; Premium/Good 140.00; Good</t>
  </si>
  <si>
    <t>90.00. Alfalfa/Grass Large Squares: Premium 125.00;</t>
  </si>
  <si>
    <t>Premium/Good 90.00; Good 75.00-87.00.</t>
  </si>
  <si>
    <t>Pipestone, MN Hay and Straw Auction One</t>
  </si>
  <si>
    <t>load Small Squares is 2-3 tons; Large Square and Large Round</t>
  </si>
  <si>
    <t>range 5-25 tons per load. Receipts: 18 Loads. Alfalfa: Fair: Large</t>
  </si>
  <si>
    <t>Rounds, 2 loads 75.00-85.00; Small Squares, 1 load 4.00 per bale.</t>
  </si>
  <si>
    <t>Grass: Grass: Premium: Large Rounds, 1 load 90.00. Good: Large</t>
  </si>
  <si>
    <t>Rounds, 4 loads 70.00-85.00. Fair: Large Rounds, 3 loads 50.00-</t>
  </si>
  <si>
    <t>65.00. Utility: Large Rounds, 1 load 40.00.</t>
  </si>
  <si>
    <t>Mixed Alfalfa/Grass: Good: Large Rounds, 5 loads 80.00-90.00.</t>
  </si>
  <si>
    <t>Utility: Large Rounds, 1 load 40.00.</t>
  </si>
  <si>
    <t>Rock Valley Hay Auction 10/01/15 One load Small</t>
  </si>
  <si>
    <t>Square approx. 5 tons; Large Square and Round 10-25 tons per</t>
  </si>
  <si>
    <t>load. Receipts: 78 loads. Alfalfa: Good: Large Squares and</t>
  </si>
  <si>
    <t>Rounds, 6 loads 125.00-150.00. Fair: Large Squares and Rounds, 9</t>
  </si>
  <si>
    <t>loads 100.00-115.00. Utility: Large Squares and Rounds, 17 loads</t>
  </si>
  <si>
    <t>80.00-97.50. Alfalfa/Grass Mix: Good: Large Rounds, 2 loads</t>
  </si>
  <si>
    <t>102.50-112.50. Fair: Large Rounds, 2 loads 85.00. Grass:</t>
  </si>
  <si>
    <t>Premium: Large Rounds, 2 loads 155.00. Good: Large Squares and</t>
  </si>
  <si>
    <t>Rounds, 13 loads 90.00-125.00; Small Squares, 1 load 135.00. Fair:</t>
  </si>
  <si>
    <t>Large Rounds, 10 loads 70.00-82.50. Straw: Large Squares and</t>
  </si>
  <si>
    <t>Rounds, 13 loads 60.00-87.5075.00-80.00. Cornstalks: Large</t>
  </si>
  <si>
    <t>ROunds, 3 loads 40.00-57.50.</t>
  </si>
  <si>
    <t>Premium</t>
  </si>
  <si>
    <t>Premium/Good</t>
  </si>
  <si>
    <t>Good</t>
  </si>
  <si>
    <t>Good/fair</t>
  </si>
  <si>
    <t xml:space="preserve">Fair </t>
  </si>
  <si>
    <t>40-55</t>
  </si>
  <si>
    <t>180-195</t>
  </si>
  <si>
    <t>Alfalfa/grass</t>
  </si>
  <si>
    <t>Rounds</t>
  </si>
  <si>
    <t>Squares</t>
  </si>
  <si>
    <t>75-87</t>
  </si>
  <si>
    <t>75-85</t>
  </si>
  <si>
    <t>rounds</t>
  </si>
  <si>
    <t>grass</t>
  </si>
  <si>
    <t>70-85</t>
  </si>
  <si>
    <t>50-65</t>
  </si>
  <si>
    <t>alfalfa/grass</t>
  </si>
  <si>
    <t>80-90</t>
  </si>
  <si>
    <t>Utility</t>
  </si>
  <si>
    <t>alfalfa</t>
  </si>
  <si>
    <t>125-150</t>
  </si>
  <si>
    <t>100-115</t>
  </si>
  <si>
    <t>80-97.50</t>
  </si>
  <si>
    <t>rounds and squares</t>
  </si>
  <si>
    <t>102.5-112.5</t>
  </si>
  <si>
    <t>90-125</t>
  </si>
  <si>
    <t>70-82.50</t>
  </si>
  <si>
    <t>straw</t>
  </si>
  <si>
    <t>60-80</t>
  </si>
  <si>
    <t xml:space="preserve">corn stalk </t>
  </si>
  <si>
    <t>s</t>
  </si>
  <si>
    <t>40-57.50</t>
  </si>
  <si>
    <t xml:space="preserve">Distillers Products - </t>
  </si>
  <si>
    <t>Wentworth</t>
  </si>
  <si>
    <t xml:space="preserve">Dry </t>
  </si>
  <si>
    <t>Modified</t>
  </si>
  <si>
    <t>Syrup</t>
  </si>
  <si>
    <t>32% solids</t>
  </si>
  <si>
    <t>Mineral &amp; Salt</t>
  </si>
  <si>
    <t>Months on pasture</t>
  </si>
  <si>
    <t>Live Cattle</t>
  </si>
  <si>
    <t>Oct</t>
  </si>
  <si>
    <t>Dec</t>
  </si>
  <si>
    <t>Feb</t>
  </si>
  <si>
    <t>Apr</t>
  </si>
  <si>
    <t>Jun</t>
  </si>
  <si>
    <t>Aug</t>
  </si>
  <si>
    <t>Feeder Cattle</t>
  </si>
  <si>
    <t>Nov</t>
  </si>
  <si>
    <t>Jan</t>
  </si>
  <si>
    <t>Mar</t>
  </si>
  <si>
    <t>May</t>
  </si>
  <si>
    <t>Sept</t>
  </si>
  <si>
    <t>---</t>
  </si>
  <si>
    <t>Interest on Direct Operating Costs</t>
  </si>
  <si>
    <t>TOTAL OTHER COSTS</t>
  </si>
  <si>
    <t>Depreciation, Insurance, and Misc. on Total Direct Operating Costs</t>
  </si>
  <si>
    <t>Depreciation, Insurance, and Misc. on Direct Operating Costs</t>
  </si>
  <si>
    <t>TOTOAL OTHER COSTS</t>
  </si>
  <si>
    <t>TOTAL COW INCOME</t>
  </si>
  <si>
    <t>TOTAL HEIFER COSTS PER YEAR</t>
  </si>
  <si>
    <t>heifers /</t>
  </si>
  <si>
    <t>heifers/</t>
  </si>
  <si>
    <t>Value of Heifer Calf</t>
  </si>
  <si>
    <t>III. INVESTMENT TO RAISE REPLACEMENT HEIFER</t>
  </si>
  <si>
    <t>Dried Distillers</t>
  </si>
  <si>
    <t>Cull Bull Value</t>
  </si>
  <si>
    <t>Breeding fees (not including bull expenses):</t>
  </si>
  <si>
    <r>
      <t xml:space="preserve">II.  AVERAGE OPERATING CAPITAL REQUIREMENTS - </t>
    </r>
    <r>
      <rPr>
        <b/>
        <sz val="12"/>
        <color rgb="FFFF0000"/>
        <rFont val="Arial"/>
        <family val="2"/>
      </rPr>
      <t>PER COW</t>
    </r>
  </si>
  <si>
    <t xml:space="preserve">  Cells displayed YELLOW are designed for users to INPUT data.</t>
  </si>
  <si>
    <t>INPUT SECTION</t>
  </si>
  <si>
    <t>DESCRIPTION</t>
  </si>
  <si>
    <r>
      <t xml:space="preserve">II.  AVERAGE OPERATING CAPITAL REQUIREMENTS - </t>
    </r>
    <r>
      <rPr>
        <b/>
        <sz val="12"/>
        <color rgb="FFFF0000"/>
        <rFont val="Arial"/>
        <family val="2"/>
      </rPr>
      <t>PER HEIFER</t>
    </r>
  </si>
  <si>
    <t>Vet.&amp; Drug expense:</t>
  </si>
  <si>
    <t>Supplies purchased:</t>
  </si>
  <si>
    <t xml:space="preserve">Marketing costs:   </t>
  </si>
  <si>
    <t xml:space="preserve">Interest Rate:              </t>
  </si>
  <si>
    <t xml:space="preserve">Power &amp; Util. cost:    </t>
  </si>
  <si>
    <t xml:space="preserve">Fixed Investment:       </t>
  </si>
  <si>
    <r>
      <t>III. INCOME-</t>
    </r>
    <r>
      <rPr>
        <b/>
        <sz val="12"/>
        <color rgb="FFFF0000"/>
        <rFont val="Arial"/>
        <family val="2"/>
      </rPr>
      <t>PER COW</t>
    </r>
  </si>
  <si>
    <t>Calf (considering a 50/50 Steer/Heifer mix)</t>
  </si>
  <si>
    <t>Cells with a Red Triangle include an explanation of the expense.</t>
  </si>
  <si>
    <t>Average weaning weight (CWT)</t>
  </si>
  <si>
    <t xml:space="preserve">Total Cwt sold:    </t>
  </si>
  <si>
    <t xml:space="preserve">$/Cwt sold:        </t>
  </si>
  <si>
    <t xml:space="preserve">Death loss, %:     </t>
  </si>
  <si>
    <t xml:space="preserve">Total Cwt bought:  </t>
  </si>
  <si>
    <t xml:space="preserve">$/Cwt bought:      </t>
  </si>
  <si>
    <t xml:space="preserve">Interest Rate:     </t>
  </si>
  <si>
    <t>Power &amp; Util. cost:</t>
  </si>
  <si>
    <t>Months on grain ration:</t>
  </si>
  <si>
    <t>Bldg.&amp; Equip. Invest.</t>
  </si>
  <si>
    <t># OF UNITS</t>
  </si>
  <si>
    <t xml:space="preserve">Months on grain ration  </t>
  </si>
  <si>
    <t>Months on feed ration</t>
  </si>
  <si>
    <t>Miles to market (round trip)</t>
  </si>
  <si>
    <t>20% Liquid</t>
  </si>
  <si>
    <t>Read Me</t>
  </si>
  <si>
    <t>SDSU Extension Beef Cattle Enterprise Budgets</t>
  </si>
  <si>
    <t xml:space="preserve">This spreadsheet may be used to estimate revenues and costs per beef cattle enterprise. In the </t>
  </si>
  <si>
    <t xml:space="preserve">spreadsheet, revenue is calculated by entering expected weight and price.  Line item cost </t>
  </si>
  <si>
    <t xml:space="preserve">estimates are listed below. These items are best estimated from your records or expected costs in </t>
  </si>
  <si>
    <t xml:space="preserve">your area. Fuel, oil, repairs, building and equiment costs, and management fee in the budgets </t>
  </si>
  <si>
    <t xml:space="preserve">are estimated using FINBIN trends for similar farms and enterprises and then are adjusted for </t>
  </si>
  <si>
    <t xml:space="preserve">expected changes for 2017. The managment fee is a charge for managing the beef enterprises </t>
  </si>
  <si>
    <t>and is estimated using FINBIN trends.</t>
  </si>
  <si>
    <t xml:space="preserve">Throughout the  spreadsheets cells with YELLOW CELLS are locations where the producer should </t>
  </si>
  <si>
    <t xml:space="preserve">enter their own production information. Start with the  Step 1-Feed Cost Input Sheet tab. </t>
  </si>
  <si>
    <t xml:space="preserve">This spreadsheet is intended for educational purposes only.  The authors and distributors of the </t>
  </si>
  <si>
    <t xml:space="preserve">template assume no liability for use or misuse of this template or the decisions which result. </t>
  </si>
  <si>
    <t xml:space="preserve">Use this page to enter the feedstuffs you have available on your farm/ranch and the value per unit.  </t>
  </si>
  <si>
    <t xml:space="preserve">A list of 'common' feedstuffs are listed to help you get started. If you need to substitue a different </t>
  </si>
  <si>
    <t xml:space="preserve">feed, enter it in a line that has a similar unit comparison. Example-Wheat mids will be used instead </t>
  </si>
  <si>
    <t xml:space="preserve">of Modified Distillers-type in Wheat mids in that line and fill in the $ per ton rate. </t>
  </si>
  <si>
    <t xml:space="preserve">SDSU Extension Beef Cattle Enterprise Budgets </t>
  </si>
  <si>
    <t>Feed Cost Input Sheet</t>
  </si>
  <si>
    <t xml:space="preserve">Throughout the  spreadsheets cells with YELLOW cells are locations where the producer should </t>
  </si>
  <si>
    <t xml:space="preserve">enter their own production information. </t>
  </si>
  <si>
    <t xml:space="preserve">All rations used in the sample budgets are there to assist the producer by porviding an example </t>
  </si>
  <si>
    <t xml:space="preserve">ration. These rations are not guarenteed to provide the results indicated. Produers MUST enter </t>
  </si>
  <si>
    <t xml:space="preserve">their own feed rations and prices into the file in order to make benefical decisions. </t>
  </si>
  <si>
    <t xml:space="preserve">SDSU Extension Beef Cattle Enterprise Budgets  </t>
  </si>
  <si>
    <t>Heifer Development</t>
  </si>
  <si>
    <t xml:space="preserve">To add your fuel/mileage cost enter </t>
  </si>
  <si>
    <t xml:space="preserve">either the cost of commercial trucking </t>
  </si>
  <si>
    <t xml:space="preserve">OR miles per gallon on your </t>
  </si>
  <si>
    <t xml:space="preserve">pickup/tractor trailer. Mileage is for one </t>
  </si>
  <si>
    <t>animal.</t>
  </si>
  <si>
    <t xml:space="preserve">Heifer Development  </t>
  </si>
  <si>
    <t>Beef Cow</t>
  </si>
  <si>
    <t xml:space="preserve">To add your fuel/mileage cost enter either </t>
  </si>
  <si>
    <t xml:space="preserve">the cost of commercial trucking OR miles </t>
  </si>
  <si>
    <t xml:space="preserve">per gallon on your pickup/tractor trailer. </t>
  </si>
  <si>
    <t>Mileage is for one animal.</t>
  </si>
  <si>
    <t xml:space="preserve">The feeds listed are general feed stuffs. </t>
  </si>
  <si>
    <t xml:space="preserve">This is a balanced ration for cows wintered </t>
  </si>
  <si>
    <t xml:space="preserve">Nov. 1 to Jan. 1, then Jan. 1-March 31 with </t>
  </si>
  <si>
    <t xml:space="preserve">a last trimester ration and then April 1-May 31 </t>
  </si>
  <si>
    <t xml:space="preserve">early lactation ration. June to October the cows </t>
  </si>
  <si>
    <t xml:space="preserve">are on grass. Please enter the feeds you are </t>
  </si>
  <si>
    <t xml:space="preserve">using in your own ration to increase the accuracy </t>
  </si>
  <si>
    <t xml:space="preserve">of the budget. </t>
  </si>
  <si>
    <t>Background Calves November to February</t>
  </si>
  <si>
    <t xml:space="preserve">PRICE PER UNIT </t>
  </si>
  <si>
    <t>per hundred weight purchase price</t>
  </si>
  <si>
    <t xml:space="preserve">Finish Steer or Heifers </t>
  </si>
  <si>
    <t xml:space="preserve">(Budget is for one animal only. Enter values </t>
  </si>
  <si>
    <t xml:space="preserve">for only one animal or representative animal </t>
  </si>
  <si>
    <t>of your herd.)</t>
  </si>
  <si>
    <t xml:space="preserve">To add your fuel/mileage cost enter either the </t>
  </si>
  <si>
    <t xml:space="preserve">cost of commercial trucking OR miles per </t>
  </si>
  <si>
    <t xml:space="preserve">gallon on your pickup/tractor trailer. Mileage </t>
  </si>
  <si>
    <t>is for one animal.</t>
  </si>
  <si>
    <t xml:space="preserve">Cost of gain includes all expenses, </t>
  </si>
  <si>
    <t>NOT JUST FEED COSTS</t>
  </si>
  <si>
    <t>Background Yearlings (750-1100 pounds)</t>
  </si>
  <si>
    <t xml:space="preserve">cost of commercial trucking OR miles per gallon </t>
  </si>
  <si>
    <t>on your pickup/tractor trailer. Mileage is for one animal.</t>
  </si>
  <si>
    <t xml:space="preserve">The feeds listed are general feed stuffs. This is </t>
  </si>
  <si>
    <t xml:space="preserve">a balanced ration for steer calves. Please enter </t>
  </si>
  <si>
    <t xml:space="preserve">the feeds you are using in your own ration to </t>
  </si>
  <si>
    <t xml:space="preserve">increase the accuracy of the budget. </t>
  </si>
  <si>
    <t>Cost of Animal ($/CWT)</t>
  </si>
  <si>
    <t>Cost of Gain ($/Day)</t>
  </si>
  <si>
    <t>Finish Yearlings 1100-1400#</t>
  </si>
  <si>
    <t>BREAKEVEN SELLING PRICE FOR YEARLING</t>
  </si>
  <si>
    <t>BREAKEVEN PURCHASE PRICE FOR FEEDER CALF</t>
  </si>
  <si>
    <t xml:space="preserve">South Dakota State University Extension is an equal opportunity provider and employer in accordance </t>
  </si>
  <si>
    <t xml:space="preserve">with the nondiscrimination policies of South Dakota State University, the South Dakota Board of Regents </t>
  </si>
  <si>
    <t xml:space="preserve">and the United States Department of Agriculture. </t>
  </si>
  <si>
    <r>
      <rPr>
        <sz val="12"/>
        <color theme="1"/>
        <rFont val="Arial"/>
        <family val="2"/>
      </rPr>
      <t xml:space="preserve">Learn more at </t>
    </r>
    <r>
      <rPr>
        <u/>
        <sz val="12"/>
        <color theme="10"/>
        <rFont val="Arial"/>
        <family val="2"/>
      </rPr>
      <t>extension.sdstate.edu.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</si>
</sst>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_)"/>
    <numFmt numFmtId="166" formatCode="0.0_)"/>
    <numFmt numFmtId="167" formatCode="&quot;$&quot;#,##0.00"/>
    <numFmt numFmtId="168" formatCode="[$-409]mmmm\ d\,\ yyyy;@"/>
    <numFmt numFmtId="169" formatCode="_([$$-409]* #,##0.00_);_([$$-409]* \(#,##0.00\);_([$$-409]* &quot;-&quot;??_);_(@_)"/>
  </numFmts>
  <fonts count="27">
    <font>
      <sz val="10"/>
      <name val="Courier"/>
    </font>
    <font>
      <sz val="11"/>
      <color theme="1"/>
      <name val="Calibri"/>
      <family val="2"/>
      <scheme val="minor"/>
    </font>
    <font>
      <sz val="8"/>
      <name val="Courier"/>
      <family val="3"/>
    </font>
    <font>
      <sz val="10"/>
      <name val="Courier"/>
      <family val="3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sz val="12"/>
      <color rgb="FFFF0000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b/>
      <sz val="16"/>
      <color rgb="FF003087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  <font>
      <sz val="12"/>
      <color indexed="12"/>
      <name val="Arial"/>
      <family val="2"/>
    </font>
    <font>
      <b/>
      <sz val="16"/>
      <name val="Arial"/>
      <family val="2"/>
    </font>
    <font>
      <b/>
      <sz val="14"/>
      <color rgb="FF003087"/>
      <name val="Arial"/>
      <family val="2"/>
    </font>
    <font>
      <sz val="14"/>
      <name val="Arial"/>
      <family val="2"/>
    </font>
    <font>
      <b/>
      <sz val="14"/>
      <color rgb="FF0034A7"/>
      <name val="Arial"/>
      <family val="2"/>
    </font>
    <font>
      <b/>
      <sz val="12"/>
      <color rgb="FF0034A7"/>
      <name val="Arial"/>
      <family val="2"/>
    </font>
    <font>
      <u/>
      <sz val="10"/>
      <color theme="10"/>
      <name val="Courier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1"/>
      <name val="Arial"/>
      <family val="2"/>
    </font>
    <font>
      <b/>
      <sz val="16"/>
      <color rgb="FF0034A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1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DashDotDot">
        <color indexed="64"/>
      </top>
      <bottom style="mediumDashDotDot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12">
    <xf numFmtId="164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164" fontId="22" fillId="0" borderId="0" applyNumberFormat="0" applyFill="0" applyBorder="0" applyAlignment="0" applyProtection="0"/>
  </cellStyleXfs>
  <cellXfs count="199">
    <xf numFmtId="164" fontId="0" fillId="0" borderId="0" xfId="0"/>
    <xf numFmtId="164" fontId="3" fillId="0" borderId="0" xfId="0" applyFont="1"/>
    <xf numFmtId="164" fontId="3" fillId="0" borderId="0" xfId="0" applyFont="1" applyAlignment="1">
      <alignment horizontal="right"/>
    </xf>
    <xf numFmtId="164" fontId="3" fillId="0" borderId="0" xfId="0" quotePrefix="1" applyFont="1"/>
    <xf numFmtId="164" fontId="8" fillId="0" borderId="0" xfId="0" applyFont="1"/>
    <xf numFmtId="164" fontId="8" fillId="0" borderId="0" xfId="0" applyFont="1" applyAlignment="1">
      <alignment wrapText="1"/>
    </xf>
    <xf numFmtId="164" fontId="8" fillId="0" borderId="0" xfId="0" applyFont="1" applyAlignment="1">
      <alignment horizontal="center" wrapText="1"/>
    </xf>
    <xf numFmtId="164" fontId="8" fillId="0" borderId="0" xfId="0" applyFont="1" applyAlignment="1">
      <alignment horizontal="right"/>
    </xf>
    <xf numFmtId="164" fontId="8" fillId="0" borderId="1" xfId="0" applyFont="1" applyBorder="1"/>
    <xf numFmtId="164" fontId="11" fillId="0" borderId="0" xfId="0" applyFont="1" applyProtection="1">
      <protection locked="0"/>
    </xf>
    <xf numFmtId="164" fontId="11" fillId="0" borderId="1" xfId="0" applyFont="1" applyBorder="1" applyProtection="1">
      <protection locked="0"/>
    </xf>
    <xf numFmtId="164" fontId="8" fillId="0" borderId="0" xfId="0" applyFont="1" applyAlignment="1">
      <alignment horizontal="center"/>
    </xf>
    <xf numFmtId="164" fontId="12" fillId="4" borderId="0" xfId="0" applyFont="1" applyFill="1" applyProtection="1">
      <protection locked="0"/>
    </xf>
    <xf numFmtId="167" fontId="12" fillId="4" borderId="0" xfId="1" applyNumberFormat="1" applyFont="1" applyFill="1" applyProtection="1">
      <protection locked="0"/>
    </xf>
    <xf numFmtId="164" fontId="12" fillId="4" borderId="1" xfId="0" applyFont="1" applyFill="1" applyBorder="1" applyProtection="1">
      <protection locked="0"/>
    </xf>
    <xf numFmtId="167" fontId="12" fillId="4" borderId="1" xfId="1" applyNumberFormat="1" applyFont="1" applyFill="1" applyBorder="1" applyProtection="1">
      <protection locked="0"/>
    </xf>
    <xf numFmtId="14" fontId="12" fillId="4" borderId="0" xfId="0" applyNumberFormat="1" applyFont="1" applyFill="1" applyProtection="1">
      <protection locked="0"/>
    </xf>
    <xf numFmtId="164" fontId="8" fillId="0" borderId="0" xfId="0" applyFont="1" applyAlignment="1">
      <alignment vertical="center" wrapText="1"/>
    </xf>
    <xf numFmtId="0" fontId="12" fillId="0" borderId="0" xfId="5" applyFont="1"/>
    <xf numFmtId="0" fontId="8" fillId="0" borderId="0" xfId="3" applyFont="1"/>
    <xf numFmtId="0" fontId="8" fillId="0" borderId="0" xfId="5" applyFont="1"/>
    <xf numFmtId="164" fontId="13" fillId="0" borderId="0" xfId="0" applyFont="1" applyAlignment="1">
      <alignment wrapText="1"/>
    </xf>
    <xf numFmtId="168" fontId="8" fillId="0" borderId="0" xfId="0" applyNumberFormat="1" applyFont="1"/>
    <xf numFmtId="164" fontId="8" fillId="0" borderId="0" xfId="0" applyFont="1" applyAlignment="1">
      <alignment horizontal="left"/>
    </xf>
    <xf numFmtId="164" fontId="12" fillId="0" borderId="3" xfId="0" applyFont="1" applyBorder="1" applyAlignment="1">
      <alignment horizontal="left"/>
    </xf>
    <xf numFmtId="164" fontId="8" fillId="0" borderId="3" xfId="0" applyFont="1" applyBorder="1"/>
    <xf numFmtId="164" fontId="12" fillId="0" borderId="0" xfId="0" applyFont="1" applyAlignment="1">
      <alignment horizontal="left"/>
    </xf>
    <xf numFmtId="164" fontId="12" fillId="0" borderId="0" xfId="0" applyFont="1"/>
    <xf numFmtId="164" fontId="8" fillId="0" borderId="0" xfId="0" quotePrefix="1" applyFont="1" applyAlignment="1">
      <alignment horizontal="center"/>
    </xf>
    <xf numFmtId="164" fontId="14" fillId="0" borderId="0" xfId="0" applyFont="1"/>
    <xf numFmtId="165" fontId="12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center"/>
    </xf>
    <xf numFmtId="0" fontId="11" fillId="0" borderId="0" xfId="0" applyNumberFormat="1" applyFont="1" applyProtection="1">
      <protection locked="0"/>
    </xf>
    <xf numFmtId="0" fontId="9" fillId="0" borderId="0" xfId="0" applyNumberFormat="1" applyFont="1" applyProtection="1">
      <protection locked="0"/>
    </xf>
    <xf numFmtId="164" fontId="8" fillId="0" borderId="1" xfId="0" quotePrefix="1" applyFont="1" applyBorder="1" applyAlignment="1">
      <alignment horizontal="center"/>
    </xf>
    <xf numFmtId="44" fontId="12" fillId="0" borderId="0" xfId="1" applyFont="1" applyProtection="1"/>
    <xf numFmtId="164" fontId="14" fillId="0" borderId="0" xfId="0" applyFont="1" applyAlignment="1">
      <alignment wrapText="1"/>
    </xf>
    <xf numFmtId="164" fontId="12" fillId="0" borderId="1" xfId="0" applyFont="1" applyBorder="1"/>
    <xf numFmtId="164" fontId="8" fillId="0" borderId="1" xfId="0" applyFont="1" applyBorder="1" applyAlignment="1">
      <alignment horizontal="left"/>
    </xf>
    <xf numFmtId="164" fontId="9" fillId="2" borderId="1" xfId="0" applyFont="1" applyFill="1" applyBorder="1"/>
    <xf numFmtId="164" fontId="8" fillId="3" borderId="1" xfId="0" applyFont="1" applyFill="1" applyBorder="1"/>
    <xf numFmtId="44" fontId="12" fillId="0" borderId="1" xfId="1" applyFont="1" applyBorder="1" applyProtection="1"/>
    <xf numFmtId="44" fontId="11" fillId="0" borderId="0" xfId="1" applyFont="1" applyBorder="1" applyProtection="1">
      <protection locked="0"/>
    </xf>
    <xf numFmtId="164" fontId="8" fillId="2" borderId="1" xfId="0" applyFont="1" applyFill="1" applyBorder="1"/>
    <xf numFmtId="167" fontId="8" fillId="0" borderId="0" xfId="0" applyNumberFormat="1" applyFont="1"/>
    <xf numFmtId="7" fontId="8" fillId="0" borderId="0" xfId="0" applyNumberFormat="1" applyFont="1"/>
    <xf numFmtId="44" fontId="8" fillId="0" borderId="0" xfId="1" applyFont="1"/>
    <xf numFmtId="44" fontId="8" fillId="0" borderId="1" xfId="1" applyFont="1" applyBorder="1"/>
    <xf numFmtId="7" fontId="12" fillId="0" borderId="0" xfId="0" applyNumberFormat="1" applyFont="1"/>
    <xf numFmtId="0" fontId="8" fillId="0" borderId="0" xfId="0" quotePrefix="1" applyNumberFormat="1" applyFont="1" applyAlignment="1">
      <alignment horizontal="center"/>
    </xf>
    <xf numFmtId="5" fontId="8" fillId="0" borderId="0" xfId="0" applyNumberFormat="1" applyFont="1"/>
    <xf numFmtId="165" fontId="8" fillId="0" borderId="0" xfId="0" applyNumberFormat="1" applyFont="1" applyAlignment="1">
      <alignment horizontal="center"/>
    </xf>
    <xf numFmtId="169" fontId="8" fillId="0" borderId="0" xfId="0" applyNumberFormat="1" applyFont="1"/>
    <xf numFmtId="164" fontId="8" fillId="0" borderId="0" xfId="0" applyFont="1" applyAlignment="1">
      <alignment vertical="top" wrapText="1"/>
    </xf>
    <xf numFmtId="164" fontId="8" fillId="0" borderId="0" xfId="0" applyFont="1" applyAlignment="1">
      <alignment horizontal="fill"/>
    </xf>
    <xf numFmtId="164" fontId="8" fillId="0" borderId="0" xfId="0" quotePrefix="1" applyFont="1" applyAlignment="1">
      <alignment horizontal="right"/>
    </xf>
    <xf numFmtId="9" fontId="8" fillId="0" borderId="0" xfId="0" applyNumberFormat="1" applyFont="1" applyAlignment="1">
      <alignment horizontal="right"/>
    </xf>
    <xf numFmtId="7" fontId="8" fillId="0" borderId="0" xfId="1" applyNumberFormat="1" applyFont="1" applyProtection="1"/>
    <xf numFmtId="44" fontId="8" fillId="0" borderId="12" xfId="1" applyFont="1" applyBorder="1" applyProtection="1"/>
    <xf numFmtId="44" fontId="12" fillId="0" borderId="7" xfId="1" applyFont="1" applyBorder="1" applyProtection="1"/>
    <xf numFmtId="7" fontId="8" fillId="0" borderId="0" xfId="0" applyNumberFormat="1" applyFont="1" applyAlignment="1">
      <alignment horizontal="fill"/>
    </xf>
    <xf numFmtId="44" fontId="8" fillId="0" borderId="6" xfId="1" applyFont="1" applyBorder="1"/>
    <xf numFmtId="44" fontId="8" fillId="0" borderId="1" xfId="0" applyNumberFormat="1" applyFont="1" applyBorder="1"/>
    <xf numFmtId="7" fontId="8" fillId="0" borderId="0" xfId="0" applyNumberFormat="1" applyFont="1" applyAlignment="1">
      <alignment horizontal="center" wrapText="1"/>
    </xf>
    <xf numFmtId="44" fontId="8" fillId="0" borderId="5" xfId="0" applyNumberFormat="1" applyFont="1" applyBorder="1" applyAlignment="1">
      <alignment horizontal="left"/>
    </xf>
    <xf numFmtId="44" fontId="8" fillId="0" borderId="0" xfId="1" applyFont="1" applyAlignment="1" applyProtection="1">
      <alignment horizontal="right"/>
    </xf>
    <xf numFmtId="169" fontId="12" fillId="4" borderId="0" xfId="0" applyNumberFormat="1" applyFont="1" applyFill="1" applyProtection="1">
      <protection locked="0"/>
    </xf>
    <xf numFmtId="44" fontId="12" fillId="4" borderId="0" xfId="1" applyFont="1" applyFill="1" applyBorder="1" applyProtection="1">
      <protection locked="0"/>
    </xf>
    <xf numFmtId="0" fontId="12" fillId="4" borderId="0" xfId="2" applyNumberFormat="1" applyFont="1" applyFill="1" applyProtection="1">
      <protection locked="0"/>
    </xf>
    <xf numFmtId="44" fontId="12" fillId="4" borderId="0" xfId="1" applyFont="1" applyFill="1" applyProtection="1">
      <protection locked="0"/>
    </xf>
    <xf numFmtId="0" fontId="12" fillId="4" borderId="0" xfId="0" applyNumberFormat="1" applyFont="1" applyFill="1" applyProtection="1">
      <protection locked="0"/>
    </xf>
    <xf numFmtId="0" fontId="12" fillId="4" borderId="0" xfId="0" applyNumberFormat="1" applyFont="1" applyFill="1" applyAlignment="1" applyProtection="1">
      <alignment horizontal="right"/>
      <protection locked="0"/>
    </xf>
    <xf numFmtId="9" fontId="12" fillId="4" borderId="0" xfId="2" applyFont="1" applyFill="1" applyAlignment="1" applyProtection="1">
      <alignment horizontal="right"/>
      <protection locked="0"/>
    </xf>
    <xf numFmtId="44" fontId="12" fillId="4" borderId="0" xfId="1" applyFont="1" applyFill="1" applyAlignment="1" applyProtection="1">
      <alignment horizontal="left"/>
      <protection locked="0"/>
    </xf>
    <xf numFmtId="44" fontId="12" fillId="4" borderId="11" xfId="1" applyFont="1" applyFill="1" applyBorder="1" applyProtection="1">
      <protection locked="0"/>
    </xf>
    <xf numFmtId="165" fontId="12" fillId="4" borderId="0" xfId="0" applyNumberFormat="1" applyFont="1" applyFill="1" applyProtection="1">
      <protection locked="0"/>
    </xf>
    <xf numFmtId="165" fontId="12" fillId="4" borderId="11" xfId="0" applyNumberFormat="1" applyFont="1" applyFill="1" applyBorder="1" applyProtection="1">
      <protection locked="0"/>
    </xf>
    <xf numFmtId="165" fontId="12" fillId="4" borderId="1" xfId="0" applyNumberFormat="1" applyFont="1" applyFill="1" applyBorder="1" applyProtection="1">
      <protection locked="0"/>
    </xf>
    <xf numFmtId="164" fontId="12" fillId="0" borderId="0" xfId="0" applyFont="1" applyAlignment="1">
      <alignment vertical="top"/>
    </xf>
    <xf numFmtId="44" fontId="12" fillId="0" borderId="0" xfId="1" applyFont="1" applyBorder="1" applyProtection="1"/>
    <xf numFmtId="164" fontId="14" fillId="0" borderId="0" xfId="0" quotePrefix="1" applyFont="1" applyAlignment="1">
      <alignment wrapText="1"/>
    </xf>
    <xf numFmtId="164" fontId="12" fillId="4" borderId="0" xfId="0" applyFont="1" applyFill="1" applyAlignment="1" applyProtection="1">
      <alignment horizontal="right"/>
      <protection locked="0"/>
    </xf>
    <xf numFmtId="164" fontId="8" fillId="0" borderId="0" xfId="0" applyFont="1" applyProtection="1">
      <protection locked="0"/>
    </xf>
    <xf numFmtId="165" fontId="9" fillId="0" borderId="0" xfId="0" applyNumberFormat="1" applyFont="1" applyProtection="1">
      <protection locked="0"/>
    </xf>
    <xf numFmtId="44" fontId="9" fillId="0" borderId="0" xfId="1" applyFont="1" applyFill="1"/>
    <xf numFmtId="44" fontId="8" fillId="0" borderId="0" xfId="1" applyFont="1" applyBorder="1"/>
    <xf numFmtId="7" fontId="12" fillId="0" borderId="7" xfId="0" applyNumberFormat="1" applyFont="1" applyBorder="1"/>
    <xf numFmtId="44" fontId="12" fillId="0" borderId="0" xfId="1" applyFont="1" applyFill="1" applyProtection="1"/>
    <xf numFmtId="44" fontId="8" fillId="0" borderId="0" xfId="1" applyFont="1" applyFill="1"/>
    <xf numFmtId="44" fontId="8" fillId="0" borderId="12" xfId="1" applyFont="1" applyFill="1" applyBorder="1"/>
    <xf numFmtId="44" fontId="12" fillId="0" borderId="0" xfId="1" applyFont="1" applyFill="1"/>
    <xf numFmtId="9" fontId="12" fillId="0" borderId="0" xfId="2" applyFont="1" applyBorder="1"/>
    <xf numFmtId="164" fontId="8" fillId="0" borderId="2" xfId="0" applyFont="1" applyBorder="1" applyAlignment="1">
      <alignment horizontal="left"/>
    </xf>
    <xf numFmtId="164" fontId="8" fillId="0" borderId="1" xfId="0" applyFont="1" applyBorder="1" applyAlignment="1">
      <alignment horizontal="right"/>
    </xf>
    <xf numFmtId="1" fontId="8" fillId="0" borderId="5" xfId="0" applyNumberFormat="1" applyFont="1" applyBorder="1" applyAlignment="1">
      <alignment horizontal="right"/>
    </xf>
    <xf numFmtId="0" fontId="8" fillId="0" borderId="5" xfId="0" applyNumberFormat="1" applyFont="1" applyBorder="1" applyAlignment="1">
      <alignment horizontal="right"/>
    </xf>
    <xf numFmtId="165" fontId="12" fillId="4" borderId="0" xfId="0" applyNumberFormat="1" applyFont="1" applyFill="1" applyAlignment="1" applyProtection="1">
      <alignment horizontal="right"/>
      <protection locked="0"/>
    </xf>
    <xf numFmtId="44" fontId="7" fillId="0" borderId="0" xfId="1" applyFont="1" applyProtection="1"/>
    <xf numFmtId="165" fontId="8" fillId="0" borderId="0" xfId="0" applyNumberFormat="1" applyFont="1"/>
    <xf numFmtId="166" fontId="8" fillId="0" borderId="0" xfId="0" applyNumberFormat="1" applyFont="1"/>
    <xf numFmtId="164" fontId="12" fillId="0" borderId="3" xfId="0" applyFont="1" applyBorder="1"/>
    <xf numFmtId="164" fontId="12" fillId="0" borderId="0" xfId="0" applyFont="1" applyProtection="1">
      <protection locked="0"/>
    </xf>
    <xf numFmtId="164" fontId="8" fillId="0" borderId="0" xfId="0" quotePrefix="1" applyFont="1"/>
    <xf numFmtId="7" fontId="11" fillId="0" borderId="0" xfId="0" applyNumberFormat="1" applyFont="1" applyProtection="1">
      <protection locked="0"/>
    </xf>
    <xf numFmtId="164" fontId="11" fillId="2" borderId="0" xfId="0" applyFont="1" applyFill="1" applyProtection="1">
      <protection locked="0"/>
    </xf>
    <xf numFmtId="44" fontId="8" fillId="0" borderId="0" xfId="1" applyFont="1" applyProtection="1"/>
    <xf numFmtId="7" fontId="8" fillId="0" borderId="0" xfId="0" applyNumberFormat="1" applyFont="1" applyAlignment="1">
      <alignment horizontal="left"/>
    </xf>
    <xf numFmtId="44" fontId="8" fillId="0" borderId="0" xfId="1" applyFont="1" applyBorder="1" applyProtection="1"/>
    <xf numFmtId="44" fontId="8" fillId="0" borderId="7" xfId="1" applyFont="1" applyBorder="1" applyProtection="1"/>
    <xf numFmtId="44" fontId="8" fillId="0" borderId="0" xfId="1" applyFont="1" applyFill="1" applyBorder="1" applyProtection="1"/>
    <xf numFmtId="44" fontId="8" fillId="0" borderId="0" xfId="1" applyFont="1" applyFill="1" applyProtection="1"/>
    <xf numFmtId="44" fontId="8" fillId="0" borderId="4" xfId="1" applyFont="1" applyBorder="1" applyProtection="1"/>
    <xf numFmtId="10" fontId="8" fillId="0" borderId="0" xfId="0" applyNumberFormat="1" applyFont="1"/>
    <xf numFmtId="164" fontId="8" fillId="0" borderId="7" xfId="0" applyFont="1" applyBorder="1"/>
    <xf numFmtId="44" fontId="8" fillId="0" borderId="13" xfId="1" applyFont="1" applyBorder="1" applyProtection="1"/>
    <xf numFmtId="7" fontId="8" fillId="0" borderId="0" xfId="0" applyNumberFormat="1" applyFont="1" applyAlignment="1">
      <alignment horizontal="center"/>
    </xf>
    <xf numFmtId="7" fontId="8" fillId="0" borderId="6" xfId="0" applyNumberFormat="1" applyFont="1" applyBorder="1" applyAlignment="1">
      <alignment horizontal="left"/>
    </xf>
    <xf numFmtId="7" fontId="8" fillId="0" borderId="1" xfId="0" applyNumberFormat="1" applyFont="1" applyBorder="1" applyAlignment="1">
      <alignment horizontal="left"/>
    </xf>
    <xf numFmtId="7" fontId="12" fillId="0" borderId="0" xfId="0" applyNumberFormat="1" applyFont="1" applyAlignment="1">
      <alignment horizontal="left"/>
    </xf>
    <xf numFmtId="7" fontId="12" fillId="0" borderId="0" xfId="0" applyNumberFormat="1" applyFont="1" applyAlignment="1">
      <alignment horizontal="center"/>
    </xf>
    <xf numFmtId="7" fontId="8" fillId="0" borderId="5" xfId="0" applyNumberFormat="1" applyFont="1" applyBorder="1" applyAlignment="1">
      <alignment horizontal="right"/>
    </xf>
    <xf numFmtId="164" fontId="8" fillId="0" borderId="2" xfId="0" applyFont="1" applyBorder="1"/>
    <xf numFmtId="7" fontId="8" fillId="0" borderId="5" xfId="0" applyNumberFormat="1" applyFont="1" applyBorder="1"/>
    <xf numFmtId="164" fontId="8" fillId="0" borderId="2" xfId="0" applyFont="1" applyBorder="1" applyAlignment="1">
      <alignment horizontal="right"/>
    </xf>
    <xf numFmtId="164" fontId="8" fillId="0" borderId="0" xfId="0" quotePrefix="1" applyFont="1" applyAlignment="1">
      <alignment horizontal="center" shrinkToFit="1"/>
    </xf>
    <xf numFmtId="164" fontId="8" fillId="0" borderId="0" xfId="0" quotePrefix="1" applyFont="1" applyAlignment="1">
      <alignment horizontal="left"/>
    </xf>
    <xf numFmtId="166" fontId="12" fillId="4" borderId="0" xfId="0" applyNumberFormat="1" applyFont="1" applyFill="1" applyProtection="1">
      <protection locked="0"/>
    </xf>
    <xf numFmtId="164" fontId="8" fillId="0" borderId="0" xfId="0" applyFont="1" applyAlignment="1">
      <alignment shrinkToFit="1"/>
    </xf>
    <xf numFmtId="164" fontId="15" fillId="0" borderId="0" xfId="0" applyFont="1" applyAlignment="1">
      <alignment vertical="top"/>
    </xf>
    <xf numFmtId="166" fontId="8" fillId="0" borderId="0" xfId="0" applyNumberFormat="1" applyFont="1" applyAlignment="1">
      <alignment horizontal="center"/>
    </xf>
    <xf numFmtId="164" fontId="16" fillId="0" borderId="0" xfId="0" applyFont="1" applyProtection="1">
      <protection locked="0"/>
    </xf>
    <xf numFmtId="7" fontId="16" fillId="0" borderId="0" xfId="0" applyNumberFormat="1" applyFont="1" applyProtection="1">
      <protection locked="0"/>
    </xf>
    <xf numFmtId="164" fontId="8" fillId="0" borderId="10" xfId="0" applyFont="1" applyBorder="1" applyProtection="1">
      <protection hidden="1"/>
    </xf>
    <xf numFmtId="164" fontId="8" fillId="0" borderId="9" xfId="0" applyFont="1" applyBorder="1" applyProtection="1">
      <protection hidden="1"/>
    </xf>
    <xf numFmtId="164" fontId="10" fillId="0" borderId="0" xfId="0" applyFont="1"/>
    <xf numFmtId="164" fontId="8" fillId="0" borderId="8" xfId="0" applyFont="1" applyBorder="1"/>
    <xf numFmtId="164" fontId="8" fillId="0" borderId="8" xfId="0" applyFont="1" applyBorder="1" applyAlignment="1">
      <alignment horizontal="left"/>
    </xf>
    <xf numFmtId="164" fontId="8" fillId="0" borderId="1" xfId="0" applyFont="1" applyBorder="1" applyProtection="1">
      <protection locked="0"/>
    </xf>
    <xf numFmtId="164" fontId="8" fillId="0" borderId="1" xfId="0" applyFont="1" applyBorder="1" applyAlignment="1" applyProtection="1">
      <alignment horizontal="left"/>
      <protection locked="0"/>
    </xf>
    <xf numFmtId="164" fontId="16" fillId="0" borderId="0" xfId="0" applyFont="1"/>
    <xf numFmtId="164" fontId="16" fillId="0" borderId="0" xfId="0" applyFont="1" applyAlignment="1" applyProtection="1">
      <alignment horizontal="right"/>
      <protection locked="0"/>
    </xf>
    <xf numFmtId="44" fontId="8" fillId="0" borderId="0" xfId="1" applyFont="1" applyAlignment="1" applyProtection="1">
      <alignment horizontal="center"/>
    </xf>
    <xf numFmtId="44" fontId="8" fillId="0" borderId="1" xfId="1" applyFont="1" applyBorder="1" applyProtection="1"/>
    <xf numFmtId="44" fontId="8" fillId="0" borderId="5" xfId="1" applyFont="1" applyBorder="1" applyAlignment="1" applyProtection="1">
      <alignment horizontal="left"/>
    </xf>
    <xf numFmtId="44" fontId="8" fillId="0" borderId="5" xfId="1" applyFont="1" applyBorder="1" applyProtection="1"/>
    <xf numFmtId="164" fontId="8" fillId="0" borderId="0" xfId="0" applyFont="1" applyAlignment="1" applyProtection="1">
      <alignment horizontal="left"/>
      <protection locked="0"/>
    </xf>
    <xf numFmtId="164" fontId="8" fillId="0" borderId="0" xfId="0" quotePrefix="1" applyFont="1" applyAlignment="1">
      <alignment shrinkToFit="1"/>
    </xf>
    <xf numFmtId="167" fontId="12" fillId="0" borderId="0" xfId="0" applyNumberFormat="1" applyFont="1"/>
    <xf numFmtId="164" fontId="9" fillId="2" borderId="1" xfId="0" applyFont="1" applyFill="1" applyBorder="1" applyProtection="1">
      <protection locked="0"/>
    </xf>
    <xf numFmtId="7" fontId="8" fillId="0" borderId="7" xfId="0" applyNumberFormat="1" applyFont="1" applyBorder="1"/>
    <xf numFmtId="7" fontId="8" fillId="0" borderId="4" xfId="0" applyNumberFormat="1" applyFont="1" applyBorder="1"/>
    <xf numFmtId="7" fontId="8" fillId="0" borderId="13" xfId="0" applyNumberFormat="1" applyFont="1" applyBorder="1"/>
    <xf numFmtId="7" fontId="12" fillId="4" borderId="0" xfId="0" applyNumberFormat="1" applyFont="1" applyFill="1" applyProtection="1">
      <protection locked="0"/>
    </xf>
    <xf numFmtId="164" fontId="8" fillId="0" borderId="1" xfId="0" applyFont="1" applyBorder="1" applyAlignment="1">
      <alignment wrapText="1"/>
    </xf>
    <xf numFmtId="7" fontId="12" fillId="0" borderId="0" xfId="0" applyNumberFormat="1" applyFont="1" applyProtection="1">
      <protection locked="0"/>
    </xf>
    <xf numFmtId="164" fontId="14" fillId="0" borderId="0" xfId="0" applyFont="1" applyAlignment="1">
      <alignment horizontal="left"/>
    </xf>
    <xf numFmtId="164" fontId="9" fillId="0" borderId="0" xfId="0" applyFont="1" applyProtection="1">
      <protection locked="0"/>
    </xf>
    <xf numFmtId="7" fontId="12" fillId="4" borderId="1" xfId="0" applyNumberFormat="1" applyFont="1" applyFill="1" applyBorder="1" applyProtection="1">
      <protection locked="0"/>
    </xf>
    <xf numFmtId="44" fontId="12" fillId="0" borderId="4" xfId="1" applyFont="1" applyBorder="1" applyProtection="1"/>
    <xf numFmtId="44" fontId="8" fillId="0" borderId="7" xfId="1" applyFont="1" applyBorder="1"/>
    <xf numFmtId="44" fontId="12" fillId="0" borderId="13" xfId="1" applyFont="1" applyBorder="1" applyProtection="1"/>
    <xf numFmtId="164" fontId="8" fillId="0" borderId="1" xfId="0" applyFont="1" applyBorder="1" applyAlignment="1">
      <alignment horizontal="center" wrapText="1"/>
    </xf>
    <xf numFmtId="7" fontId="8" fillId="0" borderId="5" xfId="0" applyNumberFormat="1" applyFont="1" applyBorder="1" applyAlignment="1">
      <alignment horizontal="right" wrapText="1"/>
    </xf>
    <xf numFmtId="164" fontId="8" fillId="0" borderId="8" xfId="0" applyFont="1" applyBorder="1" applyAlignment="1">
      <alignment horizontal="center" wrapText="1"/>
    </xf>
    <xf numFmtId="7" fontId="8" fillId="0" borderId="1" xfId="0" applyNumberFormat="1" applyFont="1" applyBorder="1" applyAlignment="1">
      <alignment horizontal="right"/>
    </xf>
    <xf numFmtId="7" fontId="8" fillId="0" borderId="0" xfId="0" applyNumberFormat="1" applyFont="1" applyAlignment="1">
      <alignment horizontal="right"/>
    </xf>
    <xf numFmtId="164" fontId="17" fillId="0" borderId="0" xfId="0" applyFont="1"/>
    <xf numFmtId="164" fontId="17" fillId="0" borderId="0" xfId="0" applyFont="1" applyAlignment="1">
      <alignment horizontal="centerContinuous"/>
    </xf>
    <xf numFmtId="0" fontId="8" fillId="0" borderId="0" xfId="5" applyFont="1" applyAlignment="1">
      <alignment vertical="top"/>
    </xf>
    <xf numFmtId="164" fontId="8" fillId="0" borderId="0" xfId="0" applyFont="1" applyAlignment="1">
      <alignment vertical="top"/>
    </xf>
    <xf numFmtId="164" fontId="13" fillId="0" borderId="0" xfId="0" applyFont="1" applyAlignment="1">
      <alignment vertical="top"/>
    </xf>
    <xf numFmtId="164" fontId="13" fillId="0" borderId="0" xfId="0" applyFont="1" applyAlignment="1">
      <alignment horizontal="centerContinuous" vertical="top"/>
    </xf>
    <xf numFmtId="164" fontId="8" fillId="0" borderId="1" xfId="0" applyFont="1" applyBorder="1" applyAlignment="1">
      <alignment horizontal="center"/>
    </xf>
    <xf numFmtId="164" fontId="18" fillId="0" borderId="0" xfId="0" applyFont="1" applyAlignment="1">
      <alignment vertical="top"/>
    </xf>
    <xf numFmtId="164" fontId="18" fillId="0" borderId="0" xfId="0" applyFont="1" applyAlignment="1">
      <alignment horizontal="centerContinuous" vertical="top"/>
    </xf>
    <xf numFmtId="168" fontId="8" fillId="0" borderId="0" xfId="0" applyNumberFormat="1" applyFont="1" applyAlignment="1">
      <alignment horizontal="centerContinuous" vertical="top"/>
    </xf>
    <xf numFmtId="164" fontId="14" fillId="0" borderId="0" xfId="0" applyFont="1" applyAlignment="1">
      <alignment vertical="top"/>
    </xf>
    <xf numFmtId="164" fontId="14" fillId="0" borderId="0" xfId="0" applyFont="1" applyAlignment="1">
      <alignment horizontal="centerContinuous"/>
    </xf>
    <xf numFmtId="168" fontId="8" fillId="0" borderId="0" xfId="0" applyNumberFormat="1" applyFont="1" applyAlignment="1">
      <alignment horizontal="centerContinuous"/>
    </xf>
    <xf numFmtId="7" fontId="8" fillId="0" borderId="0" xfId="0" applyNumberFormat="1" applyFont="1" applyAlignment="1">
      <alignment wrapText="1"/>
    </xf>
    <xf numFmtId="7" fontId="8" fillId="0" borderId="5" xfId="0" applyNumberFormat="1" applyFont="1" applyBorder="1" applyAlignment="1">
      <alignment wrapText="1"/>
    </xf>
    <xf numFmtId="7" fontId="8" fillId="0" borderId="1" xfId="0" applyNumberFormat="1" applyFont="1" applyBorder="1" applyAlignment="1">
      <alignment wrapText="1"/>
    </xf>
    <xf numFmtId="7" fontId="8" fillId="0" borderId="2" xfId="0" applyNumberFormat="1" applyFont="1" applyBorder="1" applyAlignment="1">
      <alignment wrapText="1"/>
    </xf>
    <xf numFmtId="164" fontId="8" fillId="0" borderId="0" xfId="0" applyFont="1" applyAlignment="1">
      <alignment horizontal="centerContinuous"/>
    </xf>
    <xf numFmtId="164" fontId="14" fillId="0" borderId="0" xfId="0" quotePrefix="1" applyFont="1"/>
    <xf numFmtId="164" fontId="8" fillId="0" borderId="1" xfId="0" applyFont="1" applyBorder="1" applyAlignment="1">
      <alignment horizontal="left" wrapText="1"/>
    </xf>
    <xf numFmtId="164" fontId="8" fillId="0" borderId="1" xfId="0" applyFont="1" applyBorder="1" applyAlignment="1">
      <alignment horizontal="right" wrapText="1"/>
    </xf>
    <xf numFmtId="7" fontId="8" fillId="0" borderId="8" xfId="0" applyNumberFormat="1" applyFont="1" applyBorder="1"/>
    <xf numFmtId="164" fontId="13" fillId="0" borderId="0" xfId="0" applyFont="1" applyAlignment="1">
      <alignment vertical="top" wrapText="1"/>
    </xf>
    <xf numFmtId="164" fontId="18" fillId="0" borderId="0" xfId="0" applyFont="1" applyAlignment="1">
      <alignment horizontal="centerContinuous" vertical="top" wrapText="1"/>
    </xf>
    <xf numFmtId="164" fontId="8" fillId="0" borderId="2" xfId="0" applyFont="1" applyBorder="1" applyAlignment="1">
      <alignment horizontal="right" wrapText="1"/>
    </xf>
    <xf numFmtId="164" fontId="19" fillId="0" borderId="0" xfId="0" applyFont="1"/>
    <xf numFmtId="164" fontId="20" fillId="0" borderId="0" xfId="0" applyFont="1" applyAlignment="1">
      <alignment horizontal="centerContinuous" vertical="top"/>
    </xf>
    <xf numFmtId="164" fontId="21" fillId="0" borderId="0" xfId="0" applyFont="1" applyProtection="1">
      <protection locked="0"/>
    </xf>
    <xf numFmtId="164" fontId="8" fillId="0" borderId="0" xfId="0" applyFont="1" applyAlignment="1">
      <alignment horizontal="left" vertical="top"/>
    </xf>
    <xf numFmtId="164" fontId="23" fillId="0" borderId="0" xfId="11" applyFont="1" applyBorder="1" applyAlignment="1">
      <alignment horizontal="left" vertical="top"/>
    </xf>
    <xf numFmtId="14" fontId="25" fillId="0" borderId="0" xfId="5" applyNumberFormat="1" applyFont="1"/>
    <xf numFmtId="164" fontId="26" fillId="0" borderId="0" xfId="0" applyFont="1" applyAlignment="1">
      <alignment horizontal="centerContinuous"/>
    </xf>
    <xf numFmtId="164" fontId="20" fillId="0" borderId="0" xfId="0" applyFont="1" applyAlignment="1">
      <alignment horizontal="centerContinuous"/>
    </xf>
  </cellXfs>
  <cellStyles count="12">
    <cellStyle name="Comma 2" xfId="6" xr:uid="{00000000-0005-0000-0000-000000000000}"/>
    <cellStyle name="Currency" xfId="1" builtinId="4"/>
    <cellStyle name="Currency 2" xfId="9" xr:uid="{00000000-0005-0000-0000-000002000000}"/>
    <cellStyle name="Currency 3" xfId="4" xr:uid="{00000000-0005-0000-0000-000003000000}"/>
    <cellStyle name="Hyperlink" xfId="11" builtinId="8"/>
    <cellStyle name="Normal" xfId="0" builtinId="0"/>
    <cellStyle name="Normal 2" xfId="5" xr:uid="{00000000-0005-0000-0000-000005000000}"/>
    <cellStyle name="Normal 3" xfId="8" xr:uid="{00000000-0005-0000-0000-000006000000}"/>
    <cellStyle name="Normal 3 2" xfId="10" xr:uid="{00000000-0005-0000-0000-000007000000}"/>
    <cellStyle name="Normal 4" xfId="3" xr:uid="{00000000-0005-0000-0000-000008000000}"/>
    <cellStyle name="Percent" xfId="2" builtinId="5"/>
    <cellStyle name="Percent 2" xfId="7" xr:uid="{00000000-0005-0000-0000-00000A000000}"/>
  </cellStyles>
  <dxfs count="0"/>
  <tableStyles count="0" defaultTableStyle="TableStyleMedium9" defaultPivotStyle="PivotStyleLight16"/>
  <colors>
    <mruColors>
      <color rgb="FFFFD100"/>
      <color rgb="FF0034A7"/>
      <color rgb="FF003087"/>
      <color rgb="FF009A44"/>
      <color rgb="FF555555"/>
      <color rgb="FF0000FF"/>
      <color rgb="FFFC32F2"/>
      <color rgb="FF0303BD"/>
      <color rgb="FF265A9A"/>
      <color rgb="FF377B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50800</xdr:rowOff>
    </xdr:from>
    <xdr:to>
      <xdr:col>9</xdr:col>
      <xdr:colOff>369545</xdr:colOff>
      <xdr:row>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B63BF6-2095-6F43-BEEC-E5C0B62C785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7600" y="50800"/>
          <a:ext cx="2045945" cy="132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300671</xdr:colOff>
      <xdr:row>1</xdr:row>
      <xdr:rowOff>19050</xdr:rowOff>
    </xdr:from>
    <xdr:to>
      <xdr:col>7</xdr:col>
      <xdr:colOff>325224</xdr:colOff>
      <xdr:row>6</xdr:row>
      <xdr:rowOff>62230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25071" y="222250"/>
          <a:ext cx="1739053" cy="1122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536243</xdr:colOff>
      <xdr:row>1</xdr:row>
      <xdr:rowOff>19050</xdr:rowOff>
    </xdr:from>
    <xdr:to>
      <xdr:col>8</xdr:col>
      <xdr:colOff>508751</xdr:colOff>
      <xdr:row>6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0843" y="222250"/>
          <a:ext cx="1699708" cy="1097280"/>
        </a:xfrm>
        <a:prstGeom prst="rect">
          <a:avLst/>
        </a:prstGeom>
      </xdr:spPr>
    </xdr:pic>
    <xdr:clientData/>
  </xdr:twoCellAnchor>
  <xdr:twoCellAnchor editAs="oneCell">
    <xdr:from>
      <xdr:col>6</xdr:col>
      <xdr:colOff>646186</xdr:colOff>
      <xdr:row>56</xdr:row>
      <xdr:rowOff>9525</xdr:rowOff>
    </xdr:from>
    <xdr:to>
      <xdr:col>8</xdr:col>
      <xdr:colOff>643284</xdr:colOff>
      <xdr:row>61</xdr:row>
      <xdr:rowOff>17780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0786" y="11896725"/>
          <a:ext cx="1724298" cy="11131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591837</xdr:colOff>
      <xdr:row>1</xdr:row>
      <xdr:rowOff>9525</xdr:rowOff>
    </xdr:from>
    <xdr:to>
      <xdr:col>8</xdr:col>
      <xdr:colOff>662707</xdr:colOff>
      <xdr:row>6</xdr:row>
      <xdr:rowOff>65405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437" y="212725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571573</xdr:colOff>
      <xdr:row>44</xdr:row>
      <xdr:rowOff>57150</xdr:rowOff>
    </xdr:from>
    <xdr:to>
      <xdr:col>8</xdr:col>
      <xdr:colOff>568671</xdr:colOff>
      <xdr:row>49</xdr:row>
      <xdr:rowOff>65405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6173" y="9378950"/>
          <a:ext cx="1724298" cy="11131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592155</xdr:colOff>
      <xdr:row>0</xdr:row>
      <xdr:rowOff>63500</xdr:rowOff>
    </xdr:from>
    <xdr:to>
      <xdr:col>8</xdr:col>
      <xdr:colOff>574125</xdr:colOff>
      <xdr:row>5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755" y="6350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571573</xdr:colOff>
      <xdr:row>44</xdr:row>
      <xdr:rowOff>28575</xdr:rowOff>
    </xdr:from>
    <xdr:to>
      <xdr:col>8</xdr:col>
      <xdr:colOff>479771</xdr:colOff>
      <xdr:row>48</xdr:row>
      <xdr:rowOff>100330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6173" y="8359775"/>
          <a:ext cx="1724298" cy="11131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599775</xdr:colOff>
      <xdr:row>0</xdr:row>
      <xdr:rowOff>101600</xdr:rowOff>
    </xdr:from>
    <xdr:to>
      <xdr:col>8</xdr:col>
      <xdr:colOff>670645</xdr:colOff>
      <xdr:row>6</xdr:row>
      <xdr:rowOff>43180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4375" y="10160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762073</xdr:colOff>
      <xdr:row>38</xdr:row>
      <xdr:rowOff>28575</xdr:rowOff>
    </xdr:from>
    <xdr:to>
      <xdr:col>8</xdr:col>
      <xdr:colOff>759171</xdr:colOff>
      <xdr:row>43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6673" y="8512175"/>
          <a:ext cx="1724298" cy="11131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589938</xdr:colOff>
      <xdr:row>0</xdr:row>
      <xdr:rowOff>92075</xdr:rowOff>
    </xdr:from>
    <xdr:to>
      <xdr:col>8</xdr:col>
      <xdr:colOff>680481</xdr:colOff>
      <xdr:row>5</xdr:row>
      <xdr:rowOff>147955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4538" y="92075"/>
          <a:ext cx="1817743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628723</xdr:colOff>
      <xdr:row>40</xdr:row>
      <xdr:rowOff>19050</xdr:rowOff>
    </xdr:from>
    <xdr:to>
      <xdr:col>8</xdr:col>
      <xdr:colOff>625821</xdr:colOff>
      <xdr:row>45</xdr:row>
      <xdr:rowOff>27305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3323" y="8972550"/>
          <a:ext cx="1724298" cy="11131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591837</xdr:colOff>
      <xdr:row>0</xdr:row>
      <xdr:rowOff>82550</xdr:rowOff>
    </xdr:from>
    <xdr:to>
      <xdr:col>8</xdr:col>
      <xdr:colOff>662707</xdr:colOff>
      <xdr:row>5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437" y="8255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628723</xdr:colOff>
      <xdr:row>38</xdr:row>
      <xdr:rowOff>6350</xdr:rowOff>
    </xdr:from>
    <xdr:to>
      <xdr:col>8</xdr:col>
      <xdr:colOff>625821</xdr:colOff>
      <xdr:row>43</xdr:row>
      <xdr:rowOff>103505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3323" y="8578850"/>
          <a:ext cx="1724298" cy="11131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368300</xdr:colOff>
      <xdr:row>32</xdr:row>
      <xdr:rowOff>139700</xdr:rowOff>
    </xdr:to>
    <xdr:pic>
      <xdr:nvPicPr>
        <xdr:cNvPr id="3" name="Picture 2" descr="If you have questions about this calculator, please contact Heather Gessner at 605-782-3290.">
          <a:extLst>
            <a:ext uri="{FF2B5EF4-FFF2-40B4-BE49-F238E27FC236}">
              <a16:creationId xmlns:a16="http://schemas.microsoft.com/office/drawing/2014/main" id="{38E6B0A3-563D-ACD4-11D2-6154F45F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82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xtension.sdstate.ed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2:J26"/>
  <sheetViews>
    <sheetView tabSelected="1" topLeftCell="A2" zoomScale="106" workbookViewId="0"/>
  </sheetViews>
  <sheetFormatPr baseColWidth="10" defaultColWidth="9" defaultRowHeight="16"/>
  <cols>
    <col min="1" max="1" width="11" style="4" customWidth="1"/>
    <col min="2" max="2" width="10.33203125" style="4" customWidth="1"/>
    <col min="3" max="3" width="11.33203125" style="4" customWidth="1"/>
    <col min="4" max="16384" width="9" style="4"/>
  </cols>
  <sheetData>
    <row r="2" spans="1:10" ht="20.25" customHeight="1">
      <c r="A2" s="198" t="s">
        <v>310</v>
      </c>
      <c r="B2" s="167"/>
      <c r="C2" s="197"/>
      <c r="D2" s="167"/>
      <c r="E2" s="167"/>
      <c r="F2" s="167"/>
    </row>
    <row r="3" spans="1:10" ht="15" customHeight="1">
      <c r="A3" s="198" t="s">
        <v>309</v>
      </c>
      <c r="B3" s="167"/>
      <c r="C3" s="167"/>
      <c r="D3" s="167"/>
      <c r="E3" s="167"/>
      <c r="F3" s="167"/>
    </row>
    <row r="4" spans="1:10" ht="16" customHeight="1">
      <c r="A4" s="166"/>
      <c r="B4" s="166"/>
      <c r="C4" s="166"/>
      <c r="D4" s="166"/>
      <c r="E4" s="166"/>
      <c r="F4" s="166"/>
    </row>
    <row r="6" spans="1:10">
      <c r="B6" s="196">
        <v>45200</v>
      </c>
      <c r="C6" s="19"/>
      <c r="D6" s="18"/>
      <c r="E6" s="19"/>
      <c r="F6" s="19"/>
      <c r="G6" s="19"/>
      <c r="H6" s="19"/>
      <c r="I6" s="19"/>
      <c r="J6" s="19"/>
    </row>
    <row r="7" spans="1:10">
      <c r="A7" s="18"/>
      <c r="B7" s="19"/>
      <c r="C7" s="19"/>
      <c r="D7" s="18"/>
      <c r="E7" s="19"/>
      <c r="F7" s="19"/>
      <c r="G7" s="19"/>
      <c r="H7" s="19"/>
      <c r="I7" s="19"/>
      <c r="J7" s="19"/>
    </row>
    <row r="8" spans="1:10">
      <c r="A8" s="168" t="s">
        <v>311</v>
      </c>
      <c r="B8" s="168"/>
      <c r="C8" s="168"/>
      <c r="D8" s="168"/>
      <c r="E8" s="168"/>
      <c r="F8" s="168"/>
      <c r="G8" s="168"/>
      <c r="H8" s="168"/>
      <c r="I8" s="168"/>
      <c r="J8" s="168"/>
    </row>
    <row r="9" spans="1:10">
      <c r="A9" s="168" t="s">
        <v>312</v>
      </c>
      <c r="B9" s="168"/>
      <c r="C9" s="168"/>
      <c r="D9" s="168"/>
      <c r="E9" s="168"/>
      <c r="F9" s="168"/>
      <c r="G9" s="168"/>
      <c r="H9" s="168"/>
      <c r="I9" s="168"/>
      <c r="J9" s="168"/>
    </row>
    <row r="10" spans="1:10">
      <c r="A10" s="168" t="s">
        <v>313</v>
      </c>
      <c r="B10" s="168"/>
      <c r="C10" s="168"/>
      <c r="D10" s="168"/>
      <c r="E10" s="168"/>
      <c r="F10" s="168"/>
      <c r="G10" s="168"/>
      <c r="H10" s="168"/>
      <c r="I10" s="168"/>
      <c r="J10" s="168"/>
    </row>
    <row r="11" spans="1:10">
      <c r="A11" s="168" t="s">
        <v>314</v>
      </c>
      <c r="B11" s="168"/>
      <c r="C11" s="168"/>
      <c r="D11" s="168"/>
      <c r="E11" s="168"/>
      <c r="F11" s="168"/>
      <c r="G11" s="168"/>
      <c r="H11" s="168"/>
      <c r="I11" s="168"/>
      <c r="J11" s="168"/>
    </row>
    <row r="12" spans="1:10">
      <c r="A12" s="168" t="s">
        <v>315</v>
      </c>
      <c r="B12" s="168"/>
      <c r="C12" s="168"/>
      <c r="D12" s="168"/>
      <c r="E12" s="168"/>
      <c r="F12" s="168"/>
      <c r="G12" s="168"/>
      <c r="H12" s="168"/>
      <c r="I12" s="168"/>
      <c r="J12" s="168"/>
    </row>
    <row r="13" spans="1:10">
      <c r="A13" s="168" t="s">
        <v>316</v>
      </c>
      <c r="B13" s="168"/>
      <c r="C13" s="168"/>
      <c r="D13" s="168"/>
      <c r="E13" s="168"/>
      <c r="F13" s="168"/>
      <c r="G13" s="168"/>
      <c r="H13" s="168"/>
      <c r="I13" s="168"/>
      <c r="J13" s="168"/>
    </row>
    <row r="14" spans="1:10">
      <c r="A14" s="168" t="s">
        <v>317</v>
      </c>
      <c r="B14" s="168"/>
      <c r="C14" s="168"/>
      <c r="D14" s="168"/>
      <c r="E14" s="168"/>
      <c r="F14" s="168"/>
      <c r="G14" s="168"/>
      <c r="H14" s="168"/>
      <c r="I14" s="168"/>
      <c r="J14" s="168"/>
    </row>
    <row r="15" spans="1:10">
      <c r="A15" s="19"/>
      <c r="B15" s="19"/>
      <c r="C15" s="19"/>
      <c r="D15" s="19"/>
      <c r="E15" s="19"/>
      <c r="F15" s="19"/>
      <c r="G15" s="19"/>
      <c r="H15" s="19"/>
      <c r="I15" s="19"/>
      <c r="J15" s="19"/>
    </row>
    <row r="16" spans="1:10" ht="16" customHeight="1">
      <c r="A16" s="4" t="s">
        <v>318</v>
      </c>
    </row>
    <row r="17" spans="1:10">
      <c r="A17" s="4" t="s">
        <v>319</v>
      </c>
    </row>
    <row r="18" spans="1:10">
      <c r="A18" s="20"/>
    </row>
    <row r="19" spans="1:10">
      <c r="A19" s="20" t="s">
        <v>320</v>
      </c>
      <c r="B19" s="20"/>
      <c r="C19" s="20"/>
      <c r="D19" s="20"/>
      <c r="E19" s="20"/>
      <c r="F19" s="20"/>
      <c r="G19" s="20"/>
      <c r="H19" s="20"/>
      <c r="I19" s="20"/>
      <c r="J19" s="20"/>
    </row>
    <row r="20" spans="1:10">
      <c r="A20" s="20" t="s">
        <v>321</v>
      </c>
      <c r="B20" s="20"/>
      <c r="C20" s="20"/>
      <c r="D20" s="20"/>
      <c r="E20" s="20"/>
      <c r="F20" s="20"/>
      <c r="G20" s="20"/>
      <c r="H20" s="20"/>
      <c r="I20" s="20"/>
      <c r="J20" s="20"/>
    </row>
    <row r="22" spans="1:10">
      <c r="A22" s="194" t="s">
        <v>379</v>
      </c>
    </row>
    <row r="23" spans="1:10">
      <c r="A23" s="194" t="s">
        <v>380</v>
      </c>
    </row>
    <row r="24" spans="1:10">
      <c r="A24" s="194" t="s">
        <v>381</v>
      </c>
    </row>
    <row r="25" spans="1:10">
      <c r="A25" s="194"/>
    </row>
    <row r="26" spans="1:10">
      <c r="A26" s="195" t="s">
        <v>382</v>
      </c>
    </row>
  </sheetData>
  <sheetProtection algorithmName="SHA-512" hashValue="KksItqf+J9oWhI4XgOtGOHQxt0E5z7UjPJn4m/iTRrbMZPIcPMHhcCdxQoTHoy4Bm972AZIG+hiI3sWFpGo3qg==" saltValue="jzBQdzYaB90WviSNwuUnew==" spinCount="100000" sheet="1" objects="1" scenarios="1"/>
  <hyperlinks>
    <hyperlink ref="A26" r:id="rId1" xr:uid="{78BD0D11-AFF6-C840-B9CA-596B328D2307}"/>
  </hyperlinks>
  <pageMargins left="0.7" right="0.7" top="0.75" bottom="0.75" header="0.3" footer="0.3"/>
  <pageSetup scale="8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3087"/>
    <pageSetUpPr fitToPage="1"/>
  </sheetPr>
  <dimension ref="A1"/>
  <sheetViews>
    <sheetView workbookViewId="0">
      <selection activeCell="C6" sqref="C6"/>
    </sheetView>
  </sheetViews>
  <sheetFormatPr baseColWidth="10" defaultColWidth="8.83203125" defaultRowHeight="14"/>
  <sheetData/>
  <sheetProtection algorithmName="SHA-512" hashValue="NXyQ+pD+QeF3ae2/zSLVqYCjGsNvDq1YgBPB9ZC6Xe0+0z5VbHwDJ0NKICQjNcWBN/WRFXwJe1PVn4lJoh92kQ==" saltValue="3cEIeCez4XdBpLzM8tRMgQ==" spinCount="100000" sheet="1" objects="1" scenarios="1"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4"/>
  <sheetViews>
    <sheetView topLeftCell="A31" workbookViewId="0">
      <selection activeCell="D67" sqref="D67"/>
    </sheetView>
  </sheetViews>
  <sheetFormatPr baseColWidth="10" defaultColWidth="8.83203125" defaultRowHeight="14"/>
  <cols>
    <col min="7" max="7" width="13.1640625" customWidth="1"/>
    <col min="8" max="8" width="14" bestFit="1" customWidth="1"/>
  </cols>
  <sheetData>
    <row r="1" spans="1:15">
      <c r="A1" s="1" t="s">
        <v>185</v>
      </c>
    </row>
    <row r="2" spans="1:15">
      <c r="A2" s="1" t="s">
        <v>180</v>
      </c>
      <c r="B2" s="1" t="s">
        <v>181</v>
      </c>
      <c r="C2" s="1" t="s">
        <v>182</v>
      </c>
    </row>
    <row r="3" spans="1:15">
      <c r="A3">
        <v>3.88</v>
      </c>
      <c r="B3">
        <v>-0.6</v>
      </c>
      <c r="C3">
        <f>+A3+B3</f>
        <v>3.28</v>
      </c>
    </row>
    <row r="4" spans="1:15">
      <c r="A4">
        <v>3.99</v>
      </c>
      <c r="B4">
        <v>-0.6</v>
      </c>
      <c r="C4">
        <f>+A4+B4</f>
        <v>3.39</v>
      </c>
    </row>
    <row r="5" spans="1:15">
      <c r="A5">
        <v>4.05</v>
      </c>
      <c r="B5">
        <v>-0.6</v>
      </c>
      <c r="C5">
        <f>+A5+B5</f>
        <v>3.4499999999999997</v>
      </c>
    </row>
    <row r="6" spans="1:15">
      <c r="B6" s="1" t="s">
        <v>183</v>
      </c>
      <c r="C6">
        <f>+AVERAGE(C3:C5)</f>
        <v>3.3733333333333331</v>
      </c>
    </row>
    <row r="8" spans="1:15">
      <c r="B8" s="2" t="s">
        <v>184</v>
      </c>
      <c r="C8">
        <f>3.37*0.7</f>
        <v>2.359</v>
      </c>
    </row>
    <row r="10" spans="1:15">
      <c r="A10" t="s">
        <v>186</v>
      </c>
      <c r="I10" s="1" t="s">
        <v>212</v>
      </c>
      <c r="J10" s="1" t="s">
        <v>213</v>
      </c>
      <c r="K10" s="1" t="s">
        <v>214</v>
      </c>
      <c r="L10" s="1" t="s">
        <v>215</v>
      </c>
      <c r="M10" s="1" t="s">
        <v>216</v>
      </c>
      <c r="N10" s="1" t="s">
        <v>230</v>
      </c>
    </row>
    <row r="11" spans="1:15">
      <c r="A11" t="s">
        <v>187</v>
      </c>
      <c r="H11" s="1" t="s">
        <v>74</v>
      </c>
      <c r="K11">
        <v>70</v>
      </c>
      <c r="M11" s="1" t="s">
        <v>217</v>
      </c>
      <c r="O11" s="1" t="s">
        <v>220</v>
      </c>
    </row>
    <row r="12" spans="1:15">
      <c r="A12" t="s">
        <v>188</v>
      </c>
      <c r="I12" s="1" t="s">
        <v>218</v>
      </c>
      <c r="J12">
        <v>140</v>
      </c>
      <c r="K12">
        <v>90</v>
      </c>
      <c r="O12" s="1" t="s">
        <v>221</v>
      </c>
    </row>
    <row r="13" spans="1:15">
      <c r="A13" t="s">
        <v>189</v>
      </c>
    </row>
    <row r="14" spans="1:15">
      <c r="A14" t="s">
        <v>190</v>
      </c>
      <c r="H14" s="1" t="s">
        <v>219</v>
      </c>
      <c r="I14">
        <v>125</v>
      </c>
      <c r="J14">
        <v>90</v>
      </c>
      <c r="K14" s="1" t="s">
        <v>222</v>
      </c>
      <c r="O14" s="1" t="s">
        <v>221</v>
      </c>
    </row>
    <row r="17" spans="1:15">
      <c r="A17" t="s">
        <v>191</v>
      </c>
    </row>
    <row r="18" spans="1:15">
      <c r="A18" t="s">
        <v>192</v>
      </c>
    </row>
    <row r="19" spans="1:15">
      <c r="A19" t="s">
        <v>193</v>
      </c>
      <c r="H19" s="1" t="s">
        <v>74</v>
      </c>
      <c r="M19" s="1" t="s">
        <v>223</v>
      </c>
      <c r="O19" s="1" t="s">
        <v>224</v>
      </c>
    </row>
    <row r="20" spans="1:15">
      <c r="A20" t="s">
        <v>194</v>
      </c>
      <c r="H20" s="1" t="s">
        <v>225</v>
      </c>
      <c r="I20">
        <v>90</v>
      </c>
      <c r="K20" s="1" t="s">
        <v>226</v>
      </c>
      <c r="M20" s="1" t="s">
        <v>227</v>
      </c>
      <c r="O20" s="1" t="s">
        <v>224</v>
      </c>
    </row>
    <row r="21" spans="1:15">
      <c r="A21" t="s">
        <v>195</v>
      </c>
      <c r="H21" s="1" t="s">
        <v>228</v>
      </c>
      <c r="K21" s="1" t="s">
        <v>229</v>
      </c>
      <c r="N21">
        <v>40</v>
      </c>
      <c r="O21" s="1" t="s">
        <v>224</v>
      </c>
    </row>
    <row r="22" spans="1:15">
      <c r="A22" t="s">
        <v>196</v>
      </c>
    </row>
    <row r="23" spans="1:15">
      <c r="A23" t="s">
        <v>197</v>
      </c>
    </row>
    <row r="24" spans="1:15">
      <c r="A24" t="s">
        <v>198</v>
      </c>
    </row>
    <row r="25" spans="1:15">
      <c r="A25" t="s">
        <v>199</v>
      </c>
    </row>
    <row r="27" spans="1:15">
      <c r="A27" t="s">
        <v>200</v>
      </c>
    </row>
    <row r="28" spans="1:15">
      <c r="A28" t="s">
        <v>201</v>
      </c>
      <c r="H28" s="1" t="s">
        <v>231</v>
      </c>
      <c r="K28" s="1" t="s">
        <v>232</v>
      </c>
      <c r="M28" s="1" t="s">
        <v>233</v>
      </c>
      <c r="N28" s="1" t="s">
        <v>234</v>
      </c>
      <c r="O28" s="1" t="s">
        <v>235</v>
      </c>
    </row>
    <row r="29" spans="1:15">
      <c r="A29" t="s">
        <v>202</v>
      </c>
      <c r="H29" s="1" t="s">
        <v>228</v>
      </c>
      <c r="K29" s="1" t="s">
        <v>236</v>
      </c>
      <c r="M29">
        <v>85</v>
      </c>
      <c r="O29" s="1" t="s">
        <v>224</v>
      </c>
    </row>
    <row r="30" spans="1:15">
      <c r="A30" t="s">
        <v>203</v>
      </c>
      <c r="H30" s="1" t="s">
        <v>225</v>
      </c>
      <c r="I30">
        <v>155</v>
      </c>
      <c r="K30" s="1" t="s">
        <v>237</v>
      </c>
      <c r="M30" s="1" t="s">
        <v>238</v>
      </c>
      <c r="O30" s="1" t="s">
        <v>235</v>
      </c>
    </row>
    <row r="31" spans="1:15">
      <c r="A31" t="s">
        <v>204</v>
      </c>
      <c r="H31" s="1" t="s">
        <v>239</v>
      </c>
      <c r="N31" s="1" t="s">
        <v>240</v>
      </c>
      <c r="O31" s="1" t="s">
        <v>235</v>
      </c>
    </row>
    <row r="32" spans="1:15">
      <c r="A32" t="s">
        <v>205</v>
      </c>
      <c r="G32" s="1" t="s">
        <v>242</v>
      </c>
      <c r="H32" s="1" t="s">
        <v>241</v>
      </c>
      <c r="N32" s="1" t="s">
        <v>243</v>
      </c>
      <c r="O32" s="1" t="s">
        <v>224</v>
      </c>
    </row>
    <row r="33" spans="1:3">
      <c r="A33" t="s">
        <v>206</v>
      </c>
    </row>
    <row r="34" spans="1:3">
      <c r="A34" t="s">
        <v>207</v>
      </c>
    </row>
    <row r="35" spans="1:3">
      <c r="A35" t="s">
        <v>208</v>
      </c>
    </row>
    <row r="36" spans="1:3">
      <c r="A36" t="s">
        <v>209</v>
      </c>
    </row>
    <row r="37" spans="1:3">
      <c r="A37" t="s">
        <v>210</v>
      </c>
    </row>
    <row r="38" spans="1:3">
      <c r="A38" t="s">
        <v>211</v>
      </c>
    </row>
    <row r="41" spans="1:3">
      <c r="A41" s="1" t="s">
        <v>244</v>
      </c>
    </row>
    <row r="42" spans="1:3">
      <c r="A42" s="1" t="s">
        <v>245</v>
      </c>
    </row>
    <row r="43" spans="1:3">
      <c r="A43" s="1" t="s">
        <v>246</v>
      </c>
      <c r="B43">
        <v>135</v>
      </c>
    </row>
    <row r="44" spans="1:3">
      <c r="A44" s="1" t="s">
        <v>247</v>
      </c>
      <c r="B44">
        <v>70</v>
      </c>
    </row>
    <row r="45" spans="1:3">
      <c r="A45" s="1" t="s">
        <v>248</v>
      </c>
      <c r="B45">
        <v>40</v>
      </c>
      <c r="C45" s="1" t="s">
        <v>249</v>
      </c>
    </row>
    <row r="47" spans="1:3">
      <c r="A47" s="1" t="s">
        <v>252</v>
      </c>
    </row>
    <row r="48" spans="1:3">
      <c r="A48" s="1" t="s">
        <v>253</v>
      </c>
      <c r="B48">
        <v>130.75</v>
      </c>
    </row>
    <row r="49" spans="1:2">
      <c r="A49" s="1" t="s">
        <v>254</v>
      </c>
      <c r="B49">
        <v>137.4</v>
      </c>
    </row>
    <row r="50" spans="1:2">
      <c r="A50" s="1" t="s">
        <v>255</v>
      </c>
      <c r="B50">
        <v>139.30000000000001</v>
      </c>
    </row>
    <row r="51" spans="1:2">
      <c r="A51" s="1" t="s">
        <v>256</v>
      </c>
      <c r="B51">
        <v>138.94999999999999</v>
      </c>
    </row>
    <row r="52" spans="1:2">
      <c r="A52" s="1" t="s">
        <v>257</v>
      </c>
      <c r="B52">
        <v>130.85</v>
      </c>
    </row>
    <row r="53" spans="1:2">
      <c r="A53" s="1" t="s">
        <v>258</v>
      </c>
      <c r="B53">
        <v>128.5</v>
      </c>
    </row>
    <row r="55" spans="1:2">
      <c r="A55" s="1" t="s">
        <v>259</v>
      </c>
    </row>
    <row r="56" spans="1:2">
      <c r="A56" s="1" t="s">
        <v>253</v>
      </c>
      <c r="B56">
        <v>188.83</v>
      </c>
    </row>
    <row r="57" spans="1:2">
      <c r="A57" s="1" t="s">
        <v>260</v>
      </c>
      <c r="B57">
        <v>184.6</v>
      </c>
    </row>
    <row r="58" spans="1:2">
      <c r="A58" s="1" t="s">
        <v>261</v>
      </c>
      <c r="B58">
        <v>179.5</v>
      </c>
    </row>
    <row r="59" spans="1:2">
      <c r="A59" s="1" t="s">
        <v>262</v>
      </c>
      <c r="B59">
        <v>177.6</v>
      </c>
    </row>
    <row r="60" spans="1:2">
      <c r="A60" s="1" t="s">
        <v>256</v>
      </c>
      <c r="B60">
        <v>178.23</v>
      </c>
    </row>
    <row r="61" spans="1:2">
      <c r="A61" s="1" t="s">
        <v>263</v>
      </c>
      <c r="B61">
        <v>178.1</v>
      </c>
    </row>
    <row r="62" spans="1:2">
      <c r="A62" s="1" t="s">
        <v>258</v>
      </c>
      <c r="B62">
        <v>178.37</v>
      </c>
    </row>
    <row r="63" spans="1:2">
      <c r="A63" s="1" t="s">
        <v>264</v>
      </c>
      <c r="B63" s="3" t="s">
        <v>265</v>
      </c>
    </row>
    <row r="64" spans="1:2">
      <c r="A64" s="1" t="s">
        <v>253</v>
      </c>
      <c r="B64" s="3" t="s">
        <v>265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D100"/>
  </sheetPr>
  <dimension ref="A2:L33"/>
  <sheetViews>
    <sheetView workbookViewId="0">
      <selection activeCell="C6" sqref="C6"/>
    </sheetView>
  </sheetViews>
  <sheetFormatPr baseColWidth="10" defaultColWidth="9" defaultRowHeight="16"/>
  <cols>
    <col min="1" max="1" width="21" style="4" customWidth="1"/>
    <col min="2" max="2" width="12.1640625" style="4" customWidth="1"/>
    <col min="3" max="4" width="9" style="4"/>
    <col min="5" max="5" width="10.83203125" style="4" bestFit="1" customWidth="1"/>
    <col min="6" max="6" width="13.5" style="4" bestFit="1" customWidth="1"/>
    <col min="7" max="16384" width="9" style="4"/>
  </cols>
  <sheetData>
    <row r="2" spans="1:10" ht="20" customHeight="1">
      <c r="A2" s="192" t="s">
        <v>326</v>
      </c>
      <c r="B2" s="171"/>
      <c r="C2" s="171"/>
      <c r="D2" s="171"/>
      <c r="E2" s="171"/>
      <c r="F2" s="21"/>
    </row>
    <row r="3" spans="1:10" ht="18" customHeight="1">
      <c r="A3" s="192" t="s">
        <v>327</v>
      </c>
      <c r="B3" s="171"/>
      <c r="C3" s="171"/>
      <c r="D3" s="171"/>
      <c r="E3" s="171"/>
      <c r="F3" s="21"/>
    </row>
    <row r="4" spans="1:10" ht="15" customHeight="1">
      <c r="A4" s="170"/>
      <c r="B4" s="170"/>
      <c r="C4" s="170"/>
      <c r="D4" s="170"/>
      <c r="E4" s="170"/>
      <c r="F4" s="21"/>
    </row>
    <row r="5" spans="1:10" ht="16" customHeight="1">
      <c r="A5" s="170"/>
      <c r="B5" s="170"/>
      <c r="C5" s="170"/>
      <c r="D5" s="170"/>
      <c r="E5" s="170"/>
    </row>
    <row r="6" spans="1:10" ht="16" customHeight="1">
      <c r="A6" s="170"/>
      <c r="B6" s="170"/>
      <c r="C6" s="170"/>
      <c r="D6" s="170"/>
      <c r="E6" s="170"/>
    </row>
    <row r="7" spans="1:10" ht="14.25" customHeight="1">
      <c r="B7" s="17"/>
      <c r="C7" s="17"/>
      <c r="D7" s="17"/>
      <c r="E7" s="17"/>
      <c r="F7" s="17"/>
      <c r="G7" s="17"/>
      <c r="H7" s="17"/>
    </row>
    <row r="8" spans="1:10" ht="14.25" customHeight="1">
      <c r="A8" s="17"/>
      <c r="B8" s="17"/>
      <c r="C8" s="17"/>
      <c r="D8" s="17"/>
      <c r="E8" s="17"/>
      <c r="F8" s="17"/>
      <c r="G8" s="17"/>
      <c r="H8" s="17"/>
    </row>
    <row r="9" spans="1:10" ht="15" customHeight="1">
      <c r="A9" s="169" t="s">
        <v>322</v>
      </c>
      <c r="B9" s="169"/>
      <c r="C9" s="169"/>
      <c r="D9" s="169"/>
      <c r="E9" s="169"/>
      <c r="F9" s="169"/>
      <c r="G9" s="169"/>
      <c r="H9" s="169"/>
    </row>
    <row r="10" spans="1:10">
      <c r="A10" s="169" t="s">
        <v>323</v>
      </c>
      <c r="B10" s="169"/>
      <c r="C10" s="169"/>
      <c r="D10" s="169"/>
      <c r="E10" s="169"/>
      <c r="F10" s="169"/>
      <c r="G10" s="169"/>
      <c r="H10" s="169"/>
    </row>
    <row r="11" spans="1:10">
      <c r="A11" s="169" t="s">
        <v>324</v>
      </c>
      <c r="B11" s="169"/>
      <c r="C11" s="169"/>
      <c r="D11" s="169"/>
      <c r="E11" s="169"/>
      <c r="F11" s="169"/>
      <c r="G11" s="169"/>
      <c r="H11" s="169"/>
    </row>
    <row r="12" spans="1:10">
      <c r="A12" s="169" t="s">
        <v>325</v>
      </c>
      <c r="B12" s="169"/>
      <c r="C12" s="169"/>
      <c r="D12" s="169"/>
      <c r="E12" s="169"/>
      <c r="F12" s="169"/>
      <c r="G12" s="169"/>
      <c r="H12" s="169"/>
    </row>
    <row r="13" spans="1:10">
      <c r="A13" s="17"/>
      <c r="B13" s="17"/>
      <c r="C13" s="17"/>
      <c r="D13" s="17"/>
      <c r="E13" s="17"/>
      <c r="F13" s="17"/>
      <c r="G13" s="17"/>
      <c r="H13" s="17"/>
    </row>
    <row r="14" spans="1:10" ht="12" customHeight="1">
      <c r="A14" s="4" t="s">
        <v>328</v>
      </c>
      <c r="I14" s="5"/>
      <c r="J14" s="5"/>
    </row>
    <row r="15" spans="1:10" ht="12" customHeight="1">
      <c r="A15" s="4" t="s">
        <v>329</v>
      </c>
      <c r="I15" s="5"/>
      <c r="J15" s="5"/>
    </row>
    <row r="16" spans="1:10" ht="12" customHeight="1">
      <c r="I16" s="5"/>
      <c r="J16" s="5"/>
    </row>
    <row r="17" spans="1:12" ht="12" customHeight="1">
      <c r="I17" s="5"/>
      <c r="J17" s="5"/>
      <c r="L17" s="7"/>
    </row>
    <row r="18" spans="1:12" ht="15.75" customHeight="1">
      <c r="A18" s="4" t="s">
        <v>330</v>
      </c>
    </row>
    <row r="19" spans="1:12">
      <c r="A19" s="4" t="s">
        <v>331</v>
      </c>
    </row>
    <row r="20" spans="1:12">
      <c r="A20" s="4" t="s">
        <v>332</v>
      </c>
    </row>
    <row r="21" spans="1:12">
      <c r="A21" s="6"/>
      <c r="B21" s="6"/>
      <c r="C21" s="6"/>
      <c r="D21" s="6"/>
      <c r="E21" s="6"/>
      <c r="F21" s="6"/>
      <c r="G21" s="6"/>
      <c r="H21" s="6"/>
    </row>
    <row r="22" spans="1:12" ht="16" customHeight="1"/>
    <row r="23" spans="1:12">
      <c r="B23" s="11" t="s">
        <v>129</v>
      </c>
      <c r="C23" s="172" t="s">
        <v>76</v>
      </c>
      <c r="E23" s="7" t="s">
        <v>175</v>
      </c>
      <c r="F23" s="16">
        <v>45229</v>
      </c>
    </row>
    <row r="24" spans="1:12">
      <c r="A24" s="12" t="s">
        <v>308</v>
      </c>
      <c r="B24" s="13">
        <v>15</v>
      </c>
      <c r="C24" s="4" t="s">
        <v>71</v>
      </c>
    </row>
    <row r="25" spans="1:12">
      <c r="A25" s="12" t="s">
        <v>250</v>
      </c>
      <c r="B25" s="13">
        <v>22</v>
      </c>
      <c r="C25" s="4" t="s">
        <v>71</v>
      </c>
    </row>
    <row r="26" spans="1:12">
      <c r="A26" s="12" t="s">
        <v>171</v>
      </c>
      <c r="B26" s="13">
        <v>4</v>
      </c>
      <c r="C26" s="4" t="s">
        <v>72</v>
      </c>
    </row>
    <row r="27" spans="1:12">
      <c r="A27" s="12" t="s">
        <v>170</v>
      </c>
      <c r="B27" s="13">
        <v>2.25</v>
      </c>
      <c r="C27" s="4" t="s">
        <v>72</v>
      </c>
    </row>
    <row r="28" spans="1:12">
      <c r="A28" s="12" t="s">
        <v>31</v>
      </c>
      <c r="B28" s="13">
        <v>200</v>
      </c>
      <c r="C28" s="4" t="s">
        <v>73</v>
      </c>
    </row>
    <row r="29" spans="1:12">
      <c r="A29" s="12" t="s">
        <v>74</v>
      </c>
      <c r="B29" s="13">
        <v>250</v>
      </c>
      <c r="C29" s="4" t="s">
        <v>73</v>
      </c>
    </row>
    <row r="30" spans="1:12">
      <c r="A30" s="12" t="s">
        <v>75</v>
      </c>
      <c r="B30" s="13">
        <v>40</v>
      </c>
      <c r="C30" s="4" t="s">
        <v>73</v>
      </c>
    </row>
    <row r="31" spans="1:12">
      <c r="A31" s="12" t="s">
        <v>111</v>
      </c>
      <c r="B31" s="13">
        <v>90</v>
      </c>
      <c r="C31" s="4" t="s">
        <v>73</v>
      </c>
    </row>
    <row r="32" spans="1:12">
      <c r="A32" s="12" t="s">
        <v>277</v>
      </c>
      <c r="B32" s="13">
        <v>125</v>
      </c>
      <c r="C32" s="4" t="s">
        <v>73</v>
      </c>
    </row>
    <row r="33" spans="1:3">
      <c r="A33" s="14" t="s">
        <v>100</v>
      </c>
      <c r="B33" s="15">
        <v>55</v>
      </c>
      <c r="C33" s="8" t="s">
        <v>101</v>
      </c>
    </row>
  </sheetData>
  <sheetProtection algorithmName="SHA-512" hashValue="seknmiQcUJ5PGd/DxtOdNlV90r228kztsogOe9zk0ZsxG1nB1PIDsrZZs7EGTZPP05jvRbwpu6Uup8XdBXu/xw==" saltValue="od7iiycDnizxs5VXePjVrw==" spinCount="100000" sheet="1" objects="1" scenarios="1"/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3087"/>
  </sheetPr>
  <dimension ref="A2:U101"/>
  <sheetViews>
    <sheetView workbookViewId="0">
      <selection activeCell="F45" sqref="F45:F53"/>
    </sheetView>
  </sheetViews>
  <sheetFormatPr baseColWidth="10" defaultColWidth="9" defaultRowHeight="16"/>
  <cols>
    <col min="1" max="1" width="6.6640625" style="4" customWidth="1"/>
    <col min="2" max="2" width="14.33203125" style="4" customWidth="1"/>
    <col min="3" max="3" width="11.33203125" style="4" customWidth="1"/>
    <col min="4" max="4" width="12.5" style="4" customWidth="1"/>
    <col min="5" max="8" width="11.33203125" style="4" customWidth="1"/>
    <col min="9" max="9" width="12.33203125" style="4" customWidth="1"/>
    <col min="10" max="10" width="2.33203125" customWidth="1"/>
    <col min="11" max="11" width="9.1640625" style="4" bestFit="1" customWidth="1"/>
    <col min="12" max="16384" width="9" style="4"/>
  </cols>
  <sheetData>
    <row r="2" spans="1:14" ht="19" customHeight="1">
      <c r="A2" s="192" t="s">
        <v>333</v>
      </c>
      <c r="B2" s="171"/>
      <c r="C2" s="171"/>
      <c r="D2" s="171"/>
      <c r="E2" s="171"/>
      <c r="F2" s="171"/>
    </row>
    <row r="3" spans="1:14" ht="20" customHeight="1">
      <c r="A3" s="192" t="s">
        <v>334</v>
      </c>
      <c r="B3" s="171"/>
      <c r="C3" s="171"/>
      <c r="D3" s="171"/>
      <c r="E3" s="171"/>
      <c r="F3" s="171"/>
    </row>
    <row r="4" spans="1:14" ht="15" customHeight="1">
      <c r="A4" s="170"/>
      <c r="B4" s="170"/>
      <c r="C4" s="170"/>
      <c r="D4" s="170"/>
      <c r="E4" s="170"/>
      <c r="F4" s="170"/>
    </row>
    <row r="5" spans="1:14" ht="15" customHeight="1">
      <c r="A5" s="170"/>
      <c r="B5" s="170"/>
      <c r="C5" s="170"/>
      <c r="D5" s="170"/>
      <c r="E5" s="170"/>
      <c r="F5" s="170"/>
    </row>
    <row r="6" spans="1:14" ht="15" customHeight="1">
      <c r="A6" s="170"/>
      <c r="B6" s="170"/>
      <c r="C6" s="170"/>
      <c r="D6" s="170"/>
      <c r="E6" s="170"/>
      <c r="F6" s="170"/>
    </row>
    <row r="7" spans="1:14">
      <c r="A7" s="175">
        <f>+'Step 1 - Feed Cost Input Sheet '!F23</f>
        <v>45229</v>
      </c>
      <c r="B7" s="175"/>
      <c r="C7" s="22"/>
    </row>
    <row r="8" spans="1:14">
      <c r="I8" s="22"/>
    </row>
    <row r="9" spans="1:14">
      <c r="A9" s="177" t="s">
        <v>281</v>
      </c>
      <c r="B9" s="177"/>
      <c r="C9" s="177"/>
      <c r="D9" s="177"/>
      <c r="E9" s="177"/>
      <c r="F9" s="177"/>
      <c r="G9" s="177"/>
      <c r="H9" s="177"/>
      <c r="I9" s="177"/>
    </row>
    <row r="10" spans="1:14">
      <c r="A10" s="177" t="s">
        <v>293</v>
      </c>
      <c r="B10" s="177"/>
      <c r="C10" s="177"/>
      <c r="D10" s="177"/>
      <c r="E10" s="177"/>
      <c r="F10" s="177"/>
      <c r="G10" s="177"/>
      <c r="H10" s="177"/>
      <c r="I10" s="177"/>
    </row>
    <row r="11" spans="1:14" ht="17" thickBot="1">
      <c r="A11" s="78" t="s">
        <v>282</v>
      </c>
    </row>
    <row r="12" spans="1:14" ht="17" thickBot="1">
      <c r="A12" s="24" t="s">
        <v>283</v>
      </c>
      <c r="B12" s="25"/>
      <c r="C12" s="25"/>
      <c r="D12" s="24" t="s">
        <v>1</v>
      </c>
      <c r="E12" s="25"/>
      <c r="F12" s="24" t="s">
        <v>283</v>
      </c>
      <c r="G12" s="25"/>
      <c r="H12" s="24" t="s">
        <v>2</v>
      </c>
      <c r="I12" s="25"/>
    </row>
    <row r="13" spans="1:14">
      <c r="A13" s="26" t="s">
        <v>145</v>
      </c>
      <c r="D13" s="27"/>
      <c r="E13" s="28" t="s">
        <v>4</v>
      </c>
      <c r="F13" s="27" t="s">
        <v>152</v>
      </c>
    </row>
    <row r="14" spans="1:14">
      <c r="A14" s="23" t="s">
        <v>285</v>
      </c>
      <c r="D14" s="66">
        <v>50</v>
      </c>
      <c r="E14" s="28" t="s">
        <v>4</v>
      </c>
      <c r="F14" s="4" t="s">
        <v>154</v>
      </c>
      <c r="I14" s="71">
        <v>15</v>
      </c>
      <c r="K14" s="23"/>
    </row>
    <row r="15" spans="1:14">
      <c r="A15" s="23" t="s">
        <v>286</v>
      </c>
      <c r="D15" s="66">
        <v>1</v>
      </c>
      <c r="E15" s="28" t="s">
        <v>4</v>
      </c>
      <c r="F15" s="4" t="s">
        <v>155</v>
      </c>
      <c r="I15" s="72">
        <v>0.8</v>
      </c>
      <c r="K15" s="29"/>
    </row>
    <row r="16" spans="1:14">
      <c r="A16" s="23" t="s">
        <v>287</v>
      </c>
      <c r="D16" s="66">
        <v>0</v>
      </c>
      <c r="E16" s="28" t="s">
        <v>4</v>
      </c>
      <c r="F16" s="4" t="s">
        <v>144</v>
      </c>
      <c r="I16" s="30">
        <f>+I14-(I14*I15)</f>
        <v>3</v>
      </c>
      <c r="K16" s="36"/>
      <c r="L16" s="80"/>
      <c r="M16" s="80"/>
      <c r="N16" s="80"/>
    </row>
    <row r="17" spans="1:14">
      <c r="A17" s="23" t="s">
        <v>131</v>
      </c>
      <c r="D17" s="67">
        <v>40</v>
      </c>
      <c r="E17" s="28" t="s">
        <v>4</v>
      </c>
      <c r="F17" s="4" t="s">
        <v>156</v>
      </c>
      <c r="I17" s="69">
        <v>1900</v>
      </c>
      <c r="K17" s="80"/>
      <c r="L17" s="80"/>
      <c r="M17" s="80"/>
      <c r="N17" s="80"/>
    </row>
    <row r="18" spans="1:14">
      <c r="E18" s="28" t="s">
        <v>4</v>
      </c>
      <c r="F18" s="4" t="s">
        <v>136</v>
      </c>
      <c r="I18" s="71">
        <v>1</v>
      </c>
    </row>
    <row r="19" spans="1:14">
      <c r="A19" s="26" t="s">
        <v>149</v>
      </c>
      <c r="E19" s="28" t="s">
        <v>4</v>
      </c>
      <c r="F19" s="23" t="s">
        <v>137</v>
      </c>
      <c r="I19" s="73">
        <v>5000</v>
      </c>
      <c r="K19" s="31">
        <f>+D26*30</f>
        <v>210</v>
      </c>
      <c r="L19" s="4" t="s">
        <v>128</v>
      </c>
    </row>
    <row r="20" spans="1:14">
      <c r="A20" s="23" t="s">
        <v>288</v>
      </c>
      <c r="D20" s="68">
        <v>6</v>
      </c>
      <c r="E20" s="28" t="s">
        <v>4</v>
      </c>
      <c r="F20" s="4" t="s">
        <v>278</v>
      </c>
      <c r="I20" s="66">
        <v>2000</v>
      </c>
      <c r="K20" s="31">
        <f>+D27*30</f>
        <v>150</v>
      </c>
      <c r="L20" s="4" t="s">
        <v>130</v>
      </c>
    </row>
    <row r="21" spans="1:14">
      <c r="A21" s="23" t="s">
        <v>289</v>
      </c>
      <c r="D21" s="69">
        <v>15</v>
      </c>
      <c r="E21" s="28" t="s">
        <v>4</v>
      </c>
      <c r="K21" s="176"/>
      <c r="L21" s="176"/>
      <c r="M21" s="176"/>
      <c r="N21" s="176"/>
    </row>
    <row r="22" spans="1:14" ht="17" thickBot="1">
      <c r="A22" s="23" t="s">
        <v>290</v>
      </c>
      <c r="D22" s="69">
        <v>100</v>
      </c>
      <c r="E22" s="28" t="s">
        <v>4</v>
      </c>
      <c r="F22" s="27" t="s">
        <v>134</v>
      </c>
      <c r="K22" s="176"/>
      <c r="L22" s="176"/>
      <c r="M22" s="176"/>
      <c r="N22" s="176"/>
    </row>
    <row r="23" spans="1:14" ht="16.5" customHeight="1" thickTop="1" thickBot="1">
      <c r="E23" s="28" t="s">
        <v>4</v>
      </c>
      <c r="F23" s="4" t="s">
        <v>147</v>
      </c>
      <c r="I23" s="74">
        <v>0</v>
      </c>
      <c r="K23" s="176" t="s">
        <v>335</v>
      </c>
      <c r="L23" s="176"/>
      <c r="M23" s="176"/>
      <c r="N23" s="176"/>
    </row>
    <row r="24" spans="1:14" ht="17" thickTop="1">
      <c r="A24" s="23" t="s">
        <v>275</v>
      </c>
      <c r="D24" s="69">
        <v>1200</v>
      </c>
      <c r="E24" s="28" t="s">
        <v>4</v>
      </c>
      <c r="F24" s="4" t="s">
        <v>135</v>
      </c>
      <c r="I24" s="75">
        <v>40</v>
      </c>
      <c r="K24" s="176" t="s">
        <v>336</v>
      </c>
      <c r="L24" s="176"/>
      <c r="M24" s="176"/>
      <c r="N24" s="176"/>
    </row>
    <row r="25" spans="1:14" ht="17" thickBot="1">
      <c r="E25" s="28" t="s">
        <v>4</v>
      </c>
      <c r="F25" s="4" t="s">
        <v>118</v>
      </c>
      <c r="I25" s="69">
        <v>4</v>
      </c>
      <c r="K25" s="176" t="s">
        <v>337</v>
      </c>
      <c r="L25" s="176"/>
      <c r="M25" s="176"/>
      <c r="N25" s="176"/>
    </row>
    <row r="26" spans="1:14" ht="18" thickTop="1" thickBot="1">
      <c r="A26" s="23" t="s">
        <v>126</v>
      </c>
      <c r="D26" s="70">
        <v>7</v>
      </c>
      <c r="E26" s="28" t="s">
        <v>4</v>
      </c>
      <c r="F26" s="4" t="s">
        <v>120</v>
      </c>
      <c r="I26" s="76">
        <v>5</v>
      </c>
      <c r="K26" s="176" t="s">
        <v>338</v>
      </c>
      <c r="L26" s="176"/>
      <c r="M26" s="176"/>
      <c r="N26" s="176"/>
    </row>
    <row r="27" spans="1:14" ht="17" thickTop="1">
      <c r="A27" s="4" t="s">
        <v>127</v>
      </c>
      <c r="D27" s="70">
        <v>5</v>
      </c>
      <c r="E27" s="34" t="s">
        <v>4</v>
      </c>
      <c r="F27" s="8" t="s">
        <v>122</v>
      </c>
      <c r="G27" s="8"/>
      <c r="H27" s="8"/>
      <c r="I27" s="77">
        <v>10</v>
      </c>
      <c r="K27" s="176" t="s">
        <v>339</v>
      </c>
      <c r="L27" s="176"/>
      <c r="M27" s="176"/>
      <c r="N27" s="176"/>
    </row>
    <row r="28" spans="1:14" ht="15.75" customHeight="1"/>
    <row r="29" spans="1:14">
      <c r="A29" s="27" t="s">
        <v>157</v>
      </c>
      <c r="E29" s="23"/>
    </row>
    <row r="30" spans="1:14">
      <c r="A30" s="27" t="s">
        <v>69</v>
      </c>
      <c r="D30" s="28"/>
    </row>
    <row r="31" spans="1:14" ht="34">
      <c r="B31" s="8" t="s">
        <v>70</v>
      </c>
      <c r="C31" s="8"/>
      <c r="D31" s="8"/>
      <c r="E31" s="8"/>
      <c r="F31" s="6" t="s">
        <v>124</v>
      </c>
      <c r="G31" s="6" t="s">
        <v>159</v>
      </c>
      <c r="H31" s="6" t="s">
        <v>129</v>
      </c>
      <c r="I31" s="172" t="s">
        <v>76</v>
      </c>
    </row>
    <row r="32" spans="1:14" ht="15" customHeight="1">
      <c r="B32" s="27" t="str">
        <f>+'Step 1 - Feed Cost Input Sheet '!A24</f>
        <v>20% Liquid</v>
      </c>
      <c r="F32" s="81">
        <v>0</v>
      </c>
      <c r="G32" s="4">
        <f>+(F32/100)*$K$19</f>
        <v>0</v>
      </c>
      <c r="H32" s="35">
        <f>+'Step 1 - Feed Cost Input Sheet '!B24</f>
        <v>15</v>
      </c>
      <c r="I32" s="4" t="s">
        <v>71</v>
      </c>
      <c r="K32" s="36"/>
      <c r="L32" s="36"/>
      <c r="M32" s="36"/>
      <c r="N32" s="36"/>
    </row>
    <row r="33" spans="1:14">
      <c r="B33" s="27" t="str">
        <f>+'Step 1 - Feed Cost Input Sheet '!A25</f>
        <v>Mineral &amp; Salt</v>
      </c>
      <c r="F33" s="81">
        <v>0.12</v>
      </c>
      <c r="G33" s="4">
        <f>+(F33/100)*$K$19</f>
        <v>0.252</v>
      </c>
      <c r="H33" s="35">
        <f>+'Step 1 - Feed Cost Input Sheet '!B25</f>
        <v>22</v>
      </c>
      <c r="I33" s="4" t="s">
        <v>71</v>
      </c>
      <c r="K33" s="36"/>
      <c r="L33" s="36"/>
      <c r="M33" s="36"/>
      <c r="N33" s="36"/>
    </row>
    <row r="34" spans="1:14">
      <c r="B34" s="27" t="str">
        <f>+'Step 1 - Feed Cost Input Sheet '!A26</f>
        <v>Dry Corn</v>
      </c>
      <c r="F34" s="81">
        <v>0</v>
      </c>
      <c r="G34" s="4">
        <f>+(F34/56)*$K$19</f>
        <v>0</v>
      </c>
      <c r="H34" s="35">
        <f>+'Step 1 - Feed Cost Input Sheet '!B26</f>
        <v>4</v>
      </c>
      <c r="I34" s="4" t="s">
        <v>72</v>
      </c>
      <c r="K34" s="36"/>
      <c r="L34" s="36"/>
      <c r="M34" s="36"/>
      <c r="N34" s="36"/>
    </row>
    <row r="35" spans="1:14">
      <c r="B35" s="27" t="str">
        <f>+'Step 1 - Feed Cost Input Sheet '!A27</f>
        <v>High Moisture Corn</v>
      </c>
      <c r="F35" s="81">
        <v>0</v>
      </c>
      <c r="G35" s="4">
        <f>+(F35/56)*$K$19</f>
        <v>0</v>
      </c>
      <c r="H35" s="35">
        <f>+'Step 1 - Feed Cost Input Sheet '!B27</f>
        <v>2.25</v>
      </c>
      <c r="I35" s="4" t="s">
        <v>72</v>
      </c>
      <c r="K35" s="36"/>
      <c r="L35" s="36"/>
      <c r="M35" s="36"/>
      <c r="N35" s="36"/>
    </row>
    <row r="36" spans="1:14" ht="15" customHeight="1">
      <c r="B36" s="27" t="str">
        <f>+'Step 1 - Feed Cost Input Sheet '!A28</f>
        <v>Hay</v>
      </c>
      <c r="F36" s="81">
        <v>6</v>
      </c>
      <c r="G36" s="4">
        <f>+(F36/2000)*$K$19</f>
        <v>0.63</v>
      </c>
      <c r="H36" s="35">
        <f>+'Step 1 - Feed Cost Input Sheet '!B28</f>
        <v>200</v>
      </c>
      <c r="I36" s="4" t="s">
        <v>73</v>
      </c>
      <c r="K36" s="36"/>
      <c r="L36" s="36"/>
      <c r="M36" s="36"/>
      <c r="N36" s="36"/>
    </row>
    <row r="37" spans="1:14">
      <c r="B37" s="27" t="str">
        <f>+'Step 1 - Feed Cost Input Sheet '!A29</f>
        <v>Alfalfa</v>
      </c>
      <c r="F37" s="81">
        <v>0</v>
      </c>
      <c r="G37" s="4">
        <f>+(F37/2000)*$K$19</f>
        <v>0</v>
      </c>
      <c r="H37" s="35">
        <f>+'Step 1 - Feed Cost Input Sheet '!B29</f>
        <v>250</v>
      </c>
      <c r="I37" s="4" t="s">
        <v>73</v>
      </c>
      <c r="K37" s="36"/>
      <c r="L37" s="36"/>
      <c r="M37" s="36"/>
      <c r="N37" s="36"/>
    </row>
    <row r="38" spans="1:14">
      <c r="B38" s="27" t="str">
        <f>+'Step 1 - Feed Cost Input Sheet '!A30</f>
        <v>Silage</v>
      </c>
      <c r="F38" s="81">
        <v>24</v>
      </c>
      <c r="G38" s="4">
        <f>+(F38/2000)*$K$19</f>
        <v>2.52</v>
      </c>
      <c r="H38" s="35">
        <f>+'Step 1 - Feed Cost Input Sheet '!B30</f>
        <v>40</v>
      </c>
      <c r="I38" s="4" t="s">
        <v>73</v>
      </c>
      <c r="K38" s="36"/>
      <c r="L38" s="36"/>
      <c r="M38" s="36"/>
      <c r="N38" s="36"/>
    </row>
    <row r="39" spans="1:14">
      <c r="B39" s="27" t="str">
        <f>+'Step 1 - Feed Cost Input Sheet '!A31</f>
        <v>Corn Stover</v>
      </c>
      <c r="F39" s="81">
        <v>12</v>
      </c>
      <c r="G39" s="4">
        <f>+(F39/2000)*$K$19</f>
        <v>1.26</v>
      </c>
      <c r="H39" s="35">
        <f>+'Step 1 - Feed Cost Input Sheet '!B31</f>
        <v>90</v>
      </c>
      <c r="I39" s="4" t="s">
        <v>73</v>
      </c>
      <c r="K39" s="36"/>
      <c r="L39" s="36"/>
      <c r="M39" s="36"/>
      <c r="N39" s="36"/>
    </row>
    <row r="40" spans="1:14">
      <c r="B40" s="27" t="str">
        <f>+'Step 1 - Feed Cost Input Sheet '!A32</f>
        <v>Dried Distillers</v>
      </c>
      <c r="F40" s="81">
        <v>0</v>
      </c>
      <c r="G40" s="4">
        <f>+(F40/2000)*$K$19</f>
        <v>0</v>
      </c>
      <c r="H40" s="35">
        <f>+'Step 1 - Feed Cost Input Sheet '!B32</f>
        <v>125</v>
      </c>
      <c r="I40" s="4" t="s">
        <v>73</v>
      </c>
      <c r="K40" s="36"/>
      <c r="L40" s="36"/>
      <c r="M40" s="36"/>
      <c r="N40" s="36"/>
    </row>
    <row r="41" spans="1:14">
      <c r="A41" s="8"/>
      <c r="B41" s="37" t="str">
        <f>+'Step 1 - Feed Cost Input Sheet '!A33</f>
        <v>Pasture</v>
      </c>
      <c r="C41" s="8"/>
      <c r="D41" s="38"/>
      <c r="E41" s="8"/>
      <c r="F41" s="39"/>
      <c r="G41" s="40">
        <f>+D27</f>
        <v>5</v>
      </c>
      <c r="H41" s="41">
        <f>+'Step 1 - Feed Cost Input Sheet '!B33</f>
        <v>55</v>
      </c>
      <c r="I41" s="8" t="s">
        <v>101</v>
      </c>
    </row>
    <row r="42" spans="1:14">
      <c r="B42" s="9"/>
      <c r="D42" s="23"/>
      <c r="H42" s="42"/>
    </row>
    <row r="43" spans="1:14" ht="15" customHeight="1">
      <c r="A43" s="27" t="s">
        <v>158</v>
      </c>
      <c r="B43" s="9"/>
      <c r="D43" s="23"/>
    </row>
    <row r="44" spans="1:14" ht="30" customHeight="1">
      <c r="B44" s="9"/>
      <c r="D44" s="23"/>
      <c r="F44" s="6" t="s">
        <v>124</v>
      </c>
      <c r="G44" s="163" t="s">
        <v>159</v>
      </c>
      <c r="H44" s="6" t="s">
        <v>129</v>
      </c>
      <c r="I44" s="161" t="s">
        <v>76</v>
      </c>
    </row>
    <row r="45" spans="1:14">
      <c r="B45" s="27" t="str">
        <f>+'Step 1 - Feed Cost Input Sheet '!A24</f>
        <v>20% Liquid</v>
      </c>
      <c r="F45" s="81">
        <v>0</v>
      </c>
      <c r="G45" s="4">
        <f>+(F45/100)*$K$19</f>
        <v>0</v>
      </c>
      <c r="H45" s="35">
        <f>+'Step 1 - Feed Cost Input Sheet '!B24</f>
        <v>15</v>
      </c>
      <c r="I45" s="4" t="s">
        <v>71</v>
      </c>
    </row>
    <row r="46" spans="1:14">
      <c r="B46" s="27" t="str">
        <f>+'Step 1 - Feed Cost Input Sheet '!A25</f>
        <v>Mineral &amp; Salt</v>
      </c>
      <c r="F46" s="81">
        <v>0.12</v>
      </c>
      <c r="G46" s="4">
        <f>+(F46/100)*$K$19</f>
        <v>0.252</v>
      </c>
      <c r="H46" s="35">
        <f>+'Step 1 - Feed Cost Input Sheet '!B25</f>
        <v>22</v>
      </c>
      <c r="I46" s="4" t="s">
        <v>71</v>
      </c>
    </row>
    <row r="47" spans="1:14">
      <c r="B47" s="27" t="str">
        <f>+'Step 1 - Feed Cost Input Sheet '!A26</f>
        <v>Dry Corn</v>
      </c>
      <c r="F47" s="81">
        <v>0</v>
      </c>
      <c r="G47" s="4">
        <f>+(F47/56)*$K$19</f>
        <v>0</v>
      </c>
      <c r="H47" s="35">
        <f>+'Step 1 - Feed Cost Input Sheet '!B26</f>
        <v>4</v>
      </c>
      <c r="I47" s="4" t="s">
        <v>72</v>
      </c>
    </row>
    <row r="48" spans="1:14">
      <c r="B48" s="27" t="str">
        <f>+'Step 1 - Feed Cost Input Sheet '!A27</f>
        <v>High Moisture Corn</v>
      </c>
      <c r="F48" s="81">
        <v>0</v>
      </c>
      <c r="G48" s="4">
        <f>+(F48/56)*$K$19</f>
        <v>0</v>
      </c>
      <c r="H48" s="35">
        <f>+'Step 1 - Feed Cost Input Sheet '!B27</f>
        <v>2.25</v>
      </c>
      <c r="I48" s="4" t="s">
        <v>72</v>
      </c>
    </row>
    <row r="49" spans="1:9">
      <c r="B49" s="27" t="str">
        <f>+'Step 1 - Feed Cost Input Sheet '!A28</f>
        <v>Hay</v>
      </c>
      <c r="F49" s="81">
        <v>6</v>
      </c>
      <c r="G49" s="4">
        <f>+(F49/2000)*$K$19</f>
        <v>0.63</v>
      </c>
      <c r="H49" s="35">
        <f>+'Step 1 - Feed Cost Input Sheet '!B28</f>
        <v>200</v>
      </c>
      <c r="I49" s="4" t="s">
        <v>73</v>
      </c>
    </row>
    <row r="50" spans="1:9">
      <c r="B50" s="27" t="str">
        <f>+'Step 1 - Feed Cost Input Sheet '!A29</f>
        <v>Alfalfa</v>
      </c>
      <c r="F50" s="81">
        <v>1</v>
      </c>
      <c r="G50" s="4">
        <f>+(F50/2000)*$K$19</f>
        <v>0.105</v>
      </c>
      <c r="H50" s="35">
        <f>+'Step 1 - Feed Cost Input Sheet '!B29</f>
        <v>250</v>
      </c>
      <c r="I50" s="4" t="s">
        <v>73</v>
      </c>
    </row>
    <row r="51" spans="1:9">
      <c r="B51" s="27" t="str">
        <f>+'Step 1 - Feed Cost Input Sheet '!A30</f>
        <v>Silage</v>
      </c>
      <c r="F51" s="81">
        <v>0</v>
      </c>
      <c r="G51" s="4">
        <f>+(F51/2000)*$K$19</f>
        <v>0</v>
      </c>
      <c r="H51" s="35">
        <f>+'Step 1 - Feed Cost Input Sheet '!B30</f>
        <v>40</v>
      </c>
      <c r="I51" s="4" t="s">
        <v>73</v>
      </c>
    </row>
    <row r="52" spans="1:9">
      <c r="B52" s="27" t="str">
        <f>+'Step 1 - Feed Cost Input Sheet '!A31</f>
        <v>Corn Stover</v>
      </c>
      <c r="F52" s="81">
        <v>0</v>
      </c>
      <c r="G52" s="4">
        <f>+(F52/2000)*$K$19</f>
        <v>0</v>
      </c>
      <c r="H52" s="35">
        <f>+'Step 1 - Feed Cost Input Sheet '!B31</f>
        <v>90</v>
      </c>
      <c r="I52" s="4" t="s">
        <v>73</v>
      </c>
    </row>
    <row r="53" spans="1:9">
      <c r="B53" s="27" t="str">
        <f>+'Step 1 - Feed Cost Input Sheet '!A32</f>
        <v>Dried Distillers</v>
      </c>
      <c r="F53" s="81">
        <v>0</v>
      </c>
      <c r="G53" s="4">
        <f>+(F53/2000)*$K$19</f>
        <v>0</v>
      </c>
      <c r="H53" s="35">
        <f>+'Step 1 - Feed Cost Input Sheet '!B32</f>
        <v>125</v>
      </c>
      <c r="I53" s="4" t="s">
        <v>73</v>
      </c>
    </row>
    <row r="54" spans="1:9">
      <c r="B54" s="37" t="str">
        <f>+'Step 1 - Feed Cost Input Sheet '!A33</f>
        <v>Pasture</v>
      </c>
      <c r="C54" s="8"/>
      <c r="D54" s="38"/>
      <c r="E54" s="8"/>
      <c r="F54" s="8">
        <f>+D27</f>
        <v>5</v>
      </c>
      <c r="G54" s="43"/>
      <c r="H54" s="41">
        <f>+'Step 1 - Feed Cost Input Sheet '!B33</f>
        <v>55</v>
      </c>
      <c r="I54" s="8" t="s">
        <v>101</v>
      </c>
    </row>
    <row r="55" spans="1:9">
      <c r="B55" s="27"/>
      <c r="D55" s="23"/>
      <c r="H55" s="79"/>
    </row>
    <row r="56" spans="1:9">
      <c r="B56" s="27"/>
      <c r="D56" s="23"/>
      <c r="H56" s="79"/>
    </row>
    <row r="57" spans="1:9" ht="19" customHeight="1">
      <c r="A57" s="192" t="s">
        <v>310</v>
      </c>
      <c r="B57" s="171"/>
      <c r="C57" s="171"/>
      <c r="D57" s="171"/>
      <c r="E57" s="171"/>
      <c r="F57" s="171"/>
      <c r="H57" s="79"/>
    </row>
    <row r="58" spans="1:9" ht="20" customHeight="1">
      <c r="A58" s="192" t="s">
        <v>340</v>
      </c>
      <c r="B58" s="171"/>
      <c r="C58" s="171"/>
      <c r="D58" s="171"/>
      <c r="E58" s="171"/>
      <c r="F58" s="171"/>
      <c r="H58" s="79"/>
    </row>
    <row r="59" spans="1:9" ht="16" customHeight="1">
      <c r="A59" s="170"/>
      <c r="B59" s="170"/>
      <c r="C59" s="170"/>
      <c r="D59" s="170"/>
      <c r="E59" s="170"/>
      <c r="F59" s="170"/>
      <c r="H59" s="79"/>
    </row>
    <row r="60" spans="1:9" ht="16" customHeight="1">
      <c r="A60" s="170"/>
      <c r="B60" s="170"/>
      <c r="C60" s="170"/>
      <c r="D60" s="170"/>
      <c r="E60" s="170"/>
      <c r="F60" s="170"/>
      <c r="H60" s="79"/>
    </row>
    <row r="61" spans="1:9" ht="16" customHeight="1">
      <c r="A61" s="170"/>
      <c r="B61" s="170"/>
      <c r="C61" s="170"/>
      <c r="D61" s="170"/>
      <c r="E61" s="170"/>
      <c r="F61" s="170"/>
      <c r="H61" s="79"/>
    </row>
    <row r="62" spans="1:9">
      <c r="A62" s="178">
        <f>+'Step 1 - Feed Cost Input Sheet '!F23</f>
        <v>45229</v>
      </c>
      <c r="B62" s="178"/>
      <c r="D62" s="23"/>
      <c r="H62" s="79"/>
    </row>
    <row r="63" spans="1:9">
      <c r="A63" s="26" t="s">
        <v>10</v>
      </c>
    </row>
    <row r="64" spans="1:9">
      <c r="A64" s="26" t="s">
        <v>143</v>
      </c>
    </row>
    <row r="65" spans="2:9">
      <c r="C65" s="23" t="str">
        <f t="shared" ref="C65:C74" si="0">+B32</f>
        <v>20% Liquid</v>
      </c>
      <c r="E65" s="7">
        <f t="shared" ref="E65:E73" si="1">+G32+G45</f>
        <v>0</v>
      </c>
      <c r="F65" s="7" t="s">
        <v>15</v>
      </c>
      <c r="G65" s="44">
        <f t="shared" ref="G65:G74" si="2">+H32</f>
        <v>15</v>
      </c>
      <c r="H65" s="44">
        <f t="shared" ref="H65:H74" si="3">+E65*G65</f>
        <v>0</v>
      </c>
    </row>
    <row r="66" spans="2:9">
      <c r="C66" s="23" t="str">
        <f t="shared" si="0"/>
        <v>Mineral &amp; Salt</v>
      </c>
      <c r="E66" s="7">
        <f t="shared" si="1"/>
        <v>0.504</v>
      </c>
      <c r="F66" s="7" t="s">
        <v>15</v>
      </c>
      <c r="G66" s="44">
        <f t="shared" si="2"/>
        <v>22</v>
      </c>
      <c r="H66" s="44">
        <f t="shared" si="3"/>
        <v>11.088000000000001</v>
      </c>
      <c r="I66" s="45"/>
    </row>
    <row r="67" spans="2:9">
      <c r="C67" s="4" t="str">
        <f t="shared" si="0"/>
        <v>Dry Corn</v>
      </c>
      <c r="E67" s="7">
        <f t="shared" si="1"/>
        <v>0</v>
      </c>
      <c r="F67" s="7" t="s">
        <v>49</v>
      </c>
      <c r="G67" s="44">
        <f t="shared" si="2"/>
        <v>4</v>
      </c>
      <c r="H67" s="44">
        <f t="shared" si="3"/>
        <v>0</v>
      </c>
      <c r="I67" s="45"/>
    </row>
    <row r="68" spans="2:9">
      <c r="C68" s="4" t="str">
        <f t="shared" si="0"/>
        <v>High Moisture Corn</v>
      </c>
      <c r="E68" s="7">
        <f t="shared" si="1"/>
        <v>0</v>
      </c>
      <c r="F68" s="7" t="s">
        <v>49</v>
      </c>
      <c r="G68" s="44">
        <f t="shared" si="2"/>
        <v>2.25</v>
      </c>
      <c r="H68" s="44">
        <f t="shared" si="3"/>
        <v>0</v>
      </c>
    </row>
    <row r="69" spans="2:9">
      <c r="C69" s="4" t="str">
        <f t="shared" si="0"/>
        <v>Hay</v>
      </c>
      <c r="E69" s="7">
        <f t="shared" si="1"/>
        <v>1.26</v>
      </c>
      <c r="F69" s="7" t="s">
        <v>50</v>
      </c>
      <c r="G69" s="44">
        <f t="shared" si="2"/>
        <v>200</v>
      </c>
      <c r="H69" s="44">
        <f t="shared" si="3"/>
        <v>252</v>
      </c>
    </row>
    <row r="70" spans="2:9">
      <c r="C70" s="4" t="str">
        <f t="shared" si="0"/>
        <v>Alfalfa</v>
      </c>
      <c r="E70" s="7">
        <f t="shared" si="1"/>
        <v>0.105</v>
      </c>
      <c r="F70" s="7" t="s">
        <v>50</v>
      </c>
      <c r="G70" s="44">
        <f t="shared" si="2"/>
        <v>250</v>
      </c>
      <c r="H70" s="44">
        <f t="shared" si="3"/>
        <v>26.25</v>
      </c>
    </row>
    <row r="71" spans="2:9">
      <c r="C71" s="4" t="str">
        <f t="shared" si="0"/>
        <v>Silage</v>
      </c>
      <c r="E71" s="7">
        <f t="shared" si="1"/>
        <v>2.52</v>
      </c>
      <c r="F71" s="7" t="s">
        <v>50</v>
      </c>
      <c r="G71" s="44">
        <f t="shared" si="2"/>
        <v>40</v>
      </c>
      <c r="H71" s="44">
        <f t="shared" si="3"/>
        <v>100.8</v>
      </c>
    </row>
    <row r="72" spans="2:9">
      <c r="C72" s="23" t="str">
        <f t="shared" si="0"/>
        <v>Corn Stover</v>
      </c>
      <c r="E72" s="7">
        <f t="shared" si="1"/>
        <v>1.26</v>
      </c>
      <c r="F72" s="7" t="s">
        <v>50</v>
      </c>
      <c r="G72" s="44">
        <f t="shared" si="2"/>
        <v>90</v>
      </c>
      <c r="H72" s="44">
        <f t="shared" si="3"/>
        <v>113.4</v>
      </c>
    </row>
    <row r="73" spans="2:9">
      <c r="C73" s="23" t="str">
        <f t="shared" si="0"/>
        <v>Dried Distillers</v>
      </c>
      <c r="E73" s="7">
        <f t="shared" si="1"/>
        <v>0</v>
      </c>
      <c r="F73" s="7" t="s">
        <v>50</v>
      </c>
      <c r="G73" s="44">
        <f t="shared" si="2"/>
        <v>125</v>
      </c>
      <c r="H73" s="44">
        <f t="shared" si="3"/>
        <v>0</v>
      </c>
      <c r="I73" s="45"/>
    </row>
    <row r="74" spans="2:9">
      <c r="C74" s="23" t="str">
        <f t="shared" si="0"/>
        <v>Pasture</v>
      </c>
      <c r="E74" s="7">
        <f>+F54</f>
        <v>5</v>
      </c>
      <c r="F74" s="7" t="s">
        <v>110</v>
      </c>
      <c r="G74" s="44">
        <f t="shared" si="2"/>
        <v>55</v>
      </c>
      <c r="H74" s="44">
        <f t="shared" si="3"/>
        <v>275</v>
      </c>
      <c r="I74" s="45"/>
    </row>
    <row r="75" spans="2:9">
      <c r="B75" s="23" t="s">
        <v>99</v>
      </c>
      <c r="I75" s="45">
        <f>+SUM(H65:H74)</f>
        <v>778.53800000000001</v>
      </c>
    </row>
    <row r="76" spans="2:9">
      <c r="B76" s="23" t="s">
        <v>16</v>
      </c>
      <c r="I76" s="45">
        <f>D14</f>
        <v>50</v>
      </c>
    </row>
    <row r="77" spans="2:9">
      <c r="B77" s="23" t="s">
        <v>17</v>
      </c>
      <c r="I77" s="45">
        <f>D15</f>
        <v>1</v>
      </c>
    </row>
    <row r="78" spans="2:9">
      <c r="B78" s="23" t="s">
        <v>18</v>
      </c>
      <c r="I78" s="45">
        <f>D16</f>
        <v>0</v>
      </c>
    </row>
    <row r="79" spans="2:9">
      <c r="B79" s="23" t="s">
        <v>121</v>
      </c>
      <c r="I79" s="46">
        <f>+IF(I23=0,(I24/I26*I25/I27),(I23*I24/I27))</f>
        <v>3.2</v>
      </c>
    </row>
    <row r="80" spans="2:9">
      <c r="B80" s="23" t="s">
        <v>279</v>
      </c>
      <c r="I80" s="47">
        <f>+D17</f>
        <v>40</v>
      </c>
    </row>
    <row r="81" spans="1:21">
      <c r="B81" s="23" t="s">
        <v>14</v>
      </c>
      <c r="D81" s="26" t="s">
        <v>19</v>
      </c>
      <c r="I81" s="48">
        <f>SUM(I75:I80)</f>
        <v>872.73800000000006</v>
      </c>
    </row>
    <row r="83" spans="1:21">
      <c r="A83" s="26" t="s">
        <v>284</v>
      </c>
    </row>
    <row r="84" spans="1:21" ht="15.75" customHeight="1">
      <c r="B84" s="23" t="s">
        <v>138</v>
      </c>
      <c r="E84" s="49">
        <f>+I14</f>
        <v>15</v>
      </c>
      <c r="F84" s="50" t="s">
        <v>273</v>
      </c>
      <c r="G84" s="51">
        <f>+I18</f>
        <v>1</v>
      </c>
      <c r="H84" s="4" t="s">
        <v>140</v>
      </c>
      <c r="I84" s="52">
        <f>+((I18*(I19/3))/I14)-((I20/3)/I14)</f>
        <v>66.666666666666671</v>
      </c>
      <c r="K84" s="23"/>
      <c r="L84" s="53"/>
      <c r="M84" s="53"/>
      <c r="N84" s="53"/>
      <c r="O84" s="53"/>
      <c r="P84" s="53"/>
      <c r="Q84" s="53"/>
      <c r="R84" s="53"/>
    </row>
    <row r="85" spans="1:21">
      <c r="B85" s="23" t="s">
        <v>26</v>
      </c>
      <c r="E85" s="31">
        <f>+E84</f>
        <v>15</v>
      </c>
      <c r="F85" s="50" t="s">
        <v>274</v>
      </c>
      <c r="G85" s="51">
        <f>+I16</f>
        <v>3</v>
      </c>
      <c r="H85" s="23" t="s">
        <v>141</v>
      </c>
      <c r="I85" s="46">
        <f>+(D24+I81)/I16</f>
        <v>690.91266666666672</v>
      </c>
      <c r="L85" s="53"/>
      <c r="M85" s="53"/>
      <c r="N85" s="53"/>
      <c r="O85" s="53"/>
      <c r="P85" s="53"/>
      <c r="Q85" s="53"/>
      <c r="R85" s="53"/>
      <c r="T85" s="45"/>
      <c r="U85" s="54"/>
    </row>
    <row r="86" spans="1:21">
      <c r="B86" s="23" t="s">
        <v>28</v>
      </c>
      <c r="D86" s="55"/>
      <c r="E86" s="56"/>
      <c r="F86" s="11"/>
      <c r="G86" s="45"/>
      <c r="H86" s="23"/>
      <c r="I86" s="46">
        <f>+I75</f>
        <v>778.53800000000001</v>
      </c>
      <c r="L86" s="53"/>
      <c r="M86" s="53"/>
      <c r="N86" s="53"/>
      <c r="O86" s="53"/>
      <c r="P86" s="53"/>
      <c r="Q86" s="53"/>
      <c r="R86" s="53"/>
      <c r="T86" s="45"/>
      <c r="U86" s="54"/>
    </row>
    <row r="87" spans="1:21">
      <c r="B87" s="23" t="s">
        <v>30</v>
      </c>
      <c r="D87" s="55"/>
      <c r="E87" s="56"/>
      <c r="F87" s="11"/>
      <c r="G87" s="45"/>
      <c r="H87" s="23"/>
      <c r="I87" s="57">
        <f>+SUM(I76:I80)</f>
        <v>94.2</v>
      </c>
      <c r="L87" s="53"/>
      <c r="M87" s="53"/>
      <c r="N87" s="53"/>
      <c r="O87" s="53"/>
      <c r="P87" s="53"/>
      <c r="Q87" s="53"/>
      <c r="R87" s="53"/>
      <c r="T87" s="45"/>
      <c r="U87" s="54"/>
    </row>
    <row r="88" spans="1:21" ht="17" thickBot="1">
      <c r="B88" s="23" t="s">
        <v>142</v>
      </c>
      <c r="D88" s="23" t="s">
        <v>146</v>
      </c>
      <c r="F88" s="11"/>
      <c r="G88" s="45"/>
      <c r="H88" s="23"/>
      <c r="I88" s="58">
        <f>(D21+D22+SUM(I84:I87))*(D20/100)</f>
        <v>104.71904000000001</v>
      </c>
      <c r="T88" s="45"/>
      <c r="U88" s="54"/>
    </row>
    <row r="89" spans="1:21" ht="17" thickTop="1">
      <c r="B89" s="27" t="s">
        <v>272</v>
      </c>
      <c r="D89" s="23"/>
      <c r="I89" s="35">
        <f>SUM(I84:I88)</f>
        <v>1735.0363733333334</v>
      </c>
      <c r="T89" s="45"/>
      <c r="U89" s="54"/>
    </row>
    <row r="90" spans="1:21" ht="17" thickBot="1">
      <c r="B90" s="27"/>
      <c r="D90" s="23"/>
      <c r="I90" s="35"/>
      <c r="T90" s="45"/>
      <c r="U90" s="54"/>
    </row>
    <row r="91" spans="1:21" ht="17" thickBot="1">
      <c r="A91" s="27" t="s">
        <v>276</v>
      </c>
      <c r="B91" s="27"/>
      <c r="D91" s="23"/>
      <c r="I91" s="59">
        <f>I89+D24</f>
        <v>2935.0363733333334</v>
      </c>
      <c r="T91" s="45"/>
      <c r="U91" s="54"/>
    </row>
    <row r="92" spans="1:21">
      <c r="T92" s="45"/>
      <c r="U92" s="54"/>
    </row>
    <row r="93" spans="1:21">
      <c r="A93" s="26" t="s">
        <v>166</v>
      </c>
      <c r="T93" s="60"/>
    </row>
    <row r="94" spans="1:21" ht="16" customHeight="1">
      <c r="B94" s="180"/>
      <c r="C94" s="183" t="s">
        <v>148</v>
      </c>
      <c r="D94" s="183"/>
      <c r="E94" s="183"/>
      <c r="F94" s="183"/>
      <c r="G94" s="183"/>
      <c r="H94" s="183"/>
      <c r="I94" s="183"/>
      <c r="N94" s="23"/>
      <c r="T94" s="45"/>
      <c r="U94" s="54"/>
    </row>
    <row r="95" spans="1:21" ht="21" customHeight="1">
      <c r="A95" s="179"/>
      <c r="B95" s="182" t="s">
        <v>132</v>
      </c>
      <c r="C95" s="61">
        <f>+D95-1</f>
        <v>54</v>
      </c>
      <c r="D95" s="62">
        <f>+H41</f>
        <v>55</v>
      </c>
      <c r="E95" s="62">
        <f>+D95+1</f>
        <v>56</v>
      </c>
      <c r="F95" s="62">
        <f>+E95+1</f>
        <v>57</v>
      </c>
      <c r="G95" s="62">
        <f>+F95+1</f>
        <v>58</v>
      </c>
      <c r="H95" s="62">
        <f>+G95+1</f>
        <v>59</v>
      </c>
      <c r="I95" s="62">
        <f>+H95+1</f>
        <v>60</v>
      </c>
      <c r="K95" s="23"/>
      <c r="M95" s="7"/>
      <c r="O95" s="11"/>
      <c r="P95" s="45"/>
      <c r="Q95" s="23"/>
      <c r="R95" s="45"/>
    </row>
    <row r="96" spans="1:21">
      <c r="A96" s="63"/>
      <c r="B96" s="64">
        <f>+H37-10</f>
        <v>240</v>
      </c>
      <c r="C96" s="65">
        <f t="shared" ref="C96:C101" si="4">+SUM($H$65:$H$68)+$H$69+($E$70*B96)+SUM($H$71:$H$73)+($E$74*$C$95)</f>
        <v>772.48800000000006</v>
      </c>
      <c r="D96" s="65">
        <f t="shared" ref="D96:D101" si="5">+SUM($H$65:$H$68)+$H$69+($E$70*B96)+SUM($H$71:$H$73)+$E$74*$D$95</f>
        <v>777.48800000000006</v>
      </c>
      <c r="E96" s="65">
        <f t="shared" ref="E96:E101" si="6">+SUM($H$65:$H$68)+$H$69+($E$70*B96)+SUM($H$71:$H$73)+$E$74*$E$95</f>
        <v>782.48800000000006</v>
      </c>
      <c r="F96" s="65">
        <f t="shared" ref="F96:F101" si="7">+SUM($H$65:$H$68)+$H$69+($E$70*B96)+SUM($H$71:$H$73)+$E$74*$F$95</f>
        <v>787.48800000000006</v>
      </c>
      <c r="G96" s="65">
        <f t="shared" ref="G96:G101" si="8">+SUM($H$65:$H$68)+$H$69+($E$70*B96)+SUM($H$71:$H$73)+$E$74*$G$95</f>
        <v>792.48800000000006</v>
      </c>
      <c r="H96" s="65">
        <f t="shared" ref="H96:H101" si="9">+SUM($H$65:$H$68)+$H$69+($E$70*B96)+SUM($H$71:$H$73)+$E$74*$H$95</f>
        <v>797.48800000000006</v>
      </c>
      <c r="I96" s="65">
        <f t="shared" ref="I96:I101" si="10">+SUM($H$65:$H$68)+$H$69+($E$70*B96)+SUM($H$71:$H$73)+$E$74*$I$95</f>
        <v>802.48800000000006</v>
      </c>
      <c r="K96" s="23"/>
      <c r="M96" s="55"/>
      <c r="O96" s="11"/>
      <c r="P96" s="45"/>
      <c r="Q96" s="23"/>
      <c r="R96" s="45"/>
    </row>
    <row r="97" spans="2:18">
      <c r="B97" s="64">
        <f>+H37</f>
        <v>250</v>
      </c>
      <c r="C97" s="65">
        <f t="shared" si="4"/>
        <v>773.53800000000001</v>
      </c>
      <c r="D97" s="65">
        <f t="shared" si="5"/>
        <v>778.53800000000001</v>
      </c>
      <c r="E97" s="65">
        <f t="shared" si="6"/>
        <v>783.53800000000001</v>
      </c>
      <c r="F97" s="65">
        <f t="shared" si="7"/>
        <v>788.53800000000001</v>
      </c>
      <c r="G97" s="65">
        <f t="shared" si="8"/>
        <v>793.53800000000001</v>
      </c>
      <c r="H97" s="65">
        <f t="shared" si="9"/>
        <v>798.53800000000001</v>
      </c>
      <c r="I97" s="65">
        <f t="shared" si="10"/>
        <v>803.53800000000001</v>
      </c>
      <c r="M97" s="26"/>
      <c r="R97" s="48"/>
    </row>
    <row r="98" spans="2:18">
      <c r="B98" s="64">
        <f>+B97+10</f>
        <v>260</v>
      </c>
      <c r="C98" s="65">
        <f t="shared" si="4"/>
        <v>774.58799999999997</v>
      </c>
      <c r="D98" s="65">
        <f t="shared" si="5"/>
        <v>779.58799999999997</v>
      </c>
      <c r="E98" s="65">
        <f t="shared" si="6"/>
        <v>784.58799999999997</v>
      </c>
      <c r="F98" s="65">
        <f t="shared" si="7"/>
        <v>789.58799999999997</v>
      </c>
      <c r="G98" s="65">
        <f t="shared" si="8"/>
        <v>794.58799999999997</v>
      </c>
      <c r="H98" s="65">
        <f t="shared" si="9"/>
        <v>799.58799999999997</v>
      </c>
      <c r="I98" s="65">
        <f t="shared" si="10"/>
        <v>804.58799999999997</v>
      </c>
    </row>
    <row r="99" spans="2:18">
      <c r="B99" s="64">
        <f>+B98+10</f>
        <v>270</v>
      </c>
      <c r="C99" s="65">
        <f t="shared" si="4"/>
        <v>775.63800000000003</v>
      </c>
      <c r="D99" s="65">
        <f t="shared" si="5"/>
        <v>780.63800000000003</v>
      </c>
      <c r="E99" s="65">
        <f t="shared" si="6"/>
        <v>785.63800000000003</v>
      </c>
      <c r="F99" s="65">
        <f t="shared" si="7"/>
        <v>790.63800000000003</v>
      </c>
      <c r="G99" s="65">
        <f t="shared" si="8"/>
        <v>795.63800000000003</v>
      </c>
      <c r="H99" s="65">
        <f t="shared" si="9"/>
        <v>800.63800000000003</v>
      </c>
      <c r="I99" s="65">
        <f t="shared" si="10"/>
        <v>805.63800000000003</v>
      </c>
    </row>
    <row r="100" spans="2:18">
      <c r="B100" s="64">
        <f>+B99+10</f>
        <v>280</v>
      </c>
      <c r="C100" s="65">
        <f t="shared" si="4"/>
        <v>776.68799999999999</v>
      </c>
      <c r="D100" s="65">
        <f t="shared" si="5"/>
        <v>781.68799999999999</v>
      </c>
      <c r="E100" s="65">
        <f t="shared" si="6"/>
        <v>786.68799999999999</v>
      </c>
      <c r="F100" s="65">
        <f t="shared" si="7"/>
        <v>791.68799999999999</v>
      </c>
      <c r="G100" s="65">
        <f t="shared" si="8"/>
        <v>796.68799999999999</v>
      </c>
      <c r="H100" s="65">
        <f t="shared" si="9"/>
        <v>801.68799999999999</v>
      </c>
      <c r="I100" s="65">
        <f t="shared" si="10"/>
        <v>806.68799999999999</v>
      </c>
    </row>
    <row r="101" spans="2:18">
      <c r="B101" s="64">
        <f>+B100+10</f>
        <v>290</v>
      </c>
      <c r="C101" s="65">
        <f t="shared" si="4"/>
        <v>777.73800000000006</v>
      </c>
      <c r="D101" s="65">
        <f t="shared" si="5"/>
        <v>782.73800000000006</v>
      </c>
      <c r="E101" s="65">
        <f t="shared" si="6"/>
        <v>787.73800000000006</v>
      </c>
      <c r="F101" s="65">
        <f t="shared" si="7"/>
        <v>792.73800000000006</v>
      </c>
      <c r="G101" s="65">
        <f t="shared" si="8"/>
        <v>797.73800000000006</v>
      </c>
      <c r="H101" s="65">
        <f t="shared" si="9"/>
        <v>802.73800000000006</v>
      </c>
      <c r="I101" s="65">
        <f t="shared" si="10"/>
        <v>807.73800000000006</v>
      </c>
    </row>
  </sheetData>
  <sheetProtection algorithmName="SHA-512" hashValue="o8GMxYPD8Az/ZsvwnRxol2IpbDVImzWSZvGJSUxQCMkBg/evrc4Yfmhq1xo2AaWjyFx+Uw9B+fCU8DjEX/TMIQ==" saltValue="IteKu0RwFxkvfeS9bYIuKQ==" spinCount="100000" sheet="1" objects="1" scenarios="1"/>
  <conditionalFormatting sqref="C96:I10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4">
    <cfRule type="iconSet" priority="2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A44"/>
  </sheetPr>
  <dimension ref="A2:U112"/>
  <sheetViews>
    <sheetView zoomScaleNormal="100" workbookViewId="0">
      <selection activeCell="C6" sqref="C6"/>
    </sheetView>
  </sheetViews>
  <sheetFormatPr baseColWidth="10" defaultColWidth="9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5" customWidth="1"/>
    <col min="11" max="16384" width="9" style="4"/>
  </cols>
  <sheetData>
    <row r="2" spans="1:11" ht="20" customHeight="1">
      <c r="A2" s="192" t="s">
        <v>333</v>
      </c>
      <c r="B2" s="171"/>
      <c r="C2" s="171"/>
      <c r="D2" s="171"/>
      <c r="E2" s="171"/>
      <c r="F2" s="171"/>
    </row>
    <row r="3" spans="1:11" ht="19" customHeight="1">
      <c r="A3" s="192" t="s">
        <v>341</v>
      </c>
      <c r="B3" s="171"/>
      <c r="C3" s="171"/>
      <c r="D3" s="171"/>
      <c r="E3" s="171"/>
      <c r="F3" s="171"/>
    </row>
    <row r="4" spans="1:11" ht="16" customHeight="1">
      <c r="A4" s="170"/>
      <c r="B4" s="170"/>
      <c r="C4" s="170"/>
      <c r="D4" s="170"/>
      <c r="E4" s="170"/>
      <c r="F4" s="170"/>
    </row>
    <row r="5" spans="1:11" ht="16" customHeight="1">
      <c r="A5" s="170"/>
      <c r="B5" s="170"/>
      <c r="C5" s="170"/>
      <c r="D5" s="170"/>
      <c r="E5" s="170"/>
      <c r="F5" s="170"/>
    </row>
    <row r="6" spans="1:11" ht="16" customHeight="1">
      <c r="A6" s="170"/>
      <c r="B6" s="170"/>
      <c r="C6" s="170"/>
      <c r="D6" s="170"/>
      <c r="E6" s="170"/>
      <c r="F6" s="170"/>
    </row>
    <row r="7" spans="1:11">
      <c r="A7" s="178">
        <f>+'Step 1 - Feed Cost Input Sheet '!F23</f>
        <v>45229</v>
      </c>
      <c r="B7" s="178"/>
    </row>
    <row r="9" spans="1:11">
      <c r="A9" s="177" t="s">
        <v>281</v>
      </c>
      <c r="B9" s="177"/>
      <c r="C9" s="177"/>
      <c r="D9" s="177"/>
      <c r="E9" s="177"/>
      <c r="F9" s="177"/>
      <c r="G9" s="177"/>
      <c r="H9" s="177"/>
      <c r="I9" s="177"/>
    </row>
    <row r="10" spans="1:11">
      <c r="A10" s="177" t="s">
        <v>293</v>
      </c>
      <c r="B10" s="177"/>
      <c r="C10" s="177"/>
      <c r="D10" s="177"/>
      <c r="E10" s="177"/>
      <c r="F10" s="177"/>
      <c r="G10" s="177"/>
      <c r="H10" s="177"/>
      <c r="I10" s="177"/>
    </row>
    <row r="11" spans="1:11">
      <c r="B11" s="23"/>
      <c r="C11" s="23"/>
    </row>
    <row r="12" spans="1:11" ht="17" thickBot="1">
      <c r="A12" s="23" t="s">
        <v>282</v>
      </c>
    </row>
    <row r="13" spans="1:11" ht="17" thickBot="1">
      <c r="A13" s="24" t="s">
        <v>0</v>
      </c>
      <c r="B13" s="25"/>
      <c r="C13" s="25"/>
      <c r="D13" s="24" t="s">
        <v>1</v>
      </c>
      <c r="E13" s="25"/>
      <c r="F13" s="24" t="s">
        <v>0</v>
      </c>
      <c r="G13" s="25"/>
      <c r="H13" s="24" t="s">
        <v>2</v>
      </c>
      <c r="I13" s="25"/>
    </row>
    <row r="14" spans="1:11">
      <c r="A14" s="26" t="s">
        <v>145</v>
      </c>
      <c r="D14" s="27"/>
      <c r="E14" s="28" t="s">
        <v>4</v>
      </c>
      <c r="F14" s="27" t="s">
        <v>152</v>
      </c>
    </row>
    <row r="15" spans="1:11">
      <c r="A15" s="23" t="s">
        <v>285</v>
      </c>
      <c r="D15" s="66">
        <v>50</v>
      </c>
      <c r="E15" s="28" t="s">
        <v>4</v>
      </c>
      <c r="F15" s="4" t="s">
        <v>125</v>
      </c>
      <c r="I15" s="71">
        <v>200</v>
      </c>
      <c r="K15" s="23"/>
    </row>
    <row r="16" spans="1:11">
      <c r="A16" s="23" t="s">
        <v>286</v>
      </c>
      <c r="D16" s="66">
        <v>1</v>
      </c>
      <c r="E16" s="28" t="s">
        <v>4</v>
      </c>
      <c r="F16" s="4" t="s">
        <v>150</v>
      </c>
      <c r="I16" s="73">
        <v>2500</v>
      </c>
    </row>
    <row r="17" spans="1:14">
      <c r="A17" s="23" t="s">
        <v>287</v>
      </c>
      <c r="D17" s="66">
        <v>0</v>
      </c>
      <c r="E17" s="28" t="s">
        <v>4</v>
      </c>
      <c r="F17" s="4" t="s">
        <v>144</v>
      </c>
      <c r="I17" s="96">
        <v>6</v>
      </c>
      <c r="K17" s="29"/>
      <c r="L17" s="184"/>
      <c r="M17" s="184"/>
      <c r="N17" s="184"/>
    </row>
    <row r="18" spans="1:14">
      <c r="A18" s="23" t="s">
        <v>131</v>
      </c>
      <c r="D18" s="67">
        <v>0</v>
      </c>
      <c r="E18" s="28" t="s">
        <v>4</v>
      </c>
      <c r="F18" s="4" t="s">
        <v>151</v>
      </c>
      <c r="I18" s="69">
        <v>1400</v>
      </c>
      <c r="K18" s="184"/>
      <c r="L18" s="184"/>
      <c r="M18" s="184"/>
      <c r="N18" s="184"/>
    </row>
    <row r="19" spans="1:14">
      <c r="E19" s="28" t="s">
        <v>4</v>
      </c>
      <c r="F19" s="4" t="s">
        <v>136</v>
      </c>
      <c r="I19" s="71">
        <v>6</v>
      </c>
    </row>
    <row r="20" spans="1:14">
      <c r="A20" s="26" t="s">
        <v>149</v>
      </c>
      <c r="E20" s="28" t="s">
        <v>4</v>
      </c>
      <c r="F20" s="23" t="s">
        <v>137</v>
      </c>
      <c r="I20" s="73">
        <v>5000</v>
      </c>
      <c r="K20" s="31">
        <f>+D25*30</f>
        <v>210</v>
      </c>
      <c r="L20" s="4" t="s">
        <v>128</v>
      </c>
    </row>
    <row r="21" spans="1:14">
      <c r="A21" s="23" t="s">
        <v>95</v>
      </c>
      <c r="D21" s="68">
        <v>6</v>
      </c>
      <c r="E21" s="28" t="s">
        <v>4</v>
      </c>
      <c r="F21" s="4" t="s">
        <v>162</v>
      </c>
      <c r="I21" s="12">
        <v>0.85</v>
      </c>
      <c r="K21" s="31">
        <f>+D26*30</f>
        <v>150</v>
      </c>
      <c r="L21" s="4" t="s">
        <v>130</v>
      </c>
    </row>
    <row r="22" spans="1:14">
      <c r="A22" s="23" t="s">
        <v>96</v>
      </c>
      <c r="D22" s="69">
        <v>15</v>
      </c>
      <c r="E22" s="28" t="s">
        <v>4</v>
      </c>
    </row>
    <row r="23" spans="1:14" ht="17" thickBot="1">
      <c r="A23" s="23" t="s">
        <v>97</v>
      </c>
      <c r="D23" s="69">
        <v>40</v>
      </c>
      <c r="E23" s="28" t="s">
        <v>4</v>
      </c>
      <c r="F23" s="27" t="s">
        <v>134</v>
      </c>
    </row>
    <row r="24" spans="1:14" ht="16.5" customHeight="1" thickTop="1" thickBot="1">
      <c r="D24" s="82"/>
      <c r="E24" s="28" t="s">
        <v>4</v>
      </c>
      <c r="F24" s="4" t="s">
        <v>147</v>
      </c>
      <c r="I24" s="74">
        <v>0</v>
      </c>
      <c r="K24" s="176" t="s">
        <v>342</v>
      </c>
      <c r="L24" s="176"/>
      <c r="M24" s="176"/>
      <c r="N24" s="176"/>
    </row>
    <row r="25" spans="1:14" ht="17" thickTop="1">
      <c r="A25" s="23" t="s">
        <v>126</v>
      </c>
      <c r="D25" s="70">
        <v>7</v>
      </c>
      <c r="E25" s="28" t="s">
        <v>4</v>
      </c>
      <c r="F25" s="4" t="s">
        <v>135</v>
      </c>
      <c r="I25" s="75">
        <v>1</v>
      </c>
      <c r="K25" s="176" t="s">
        <v>343</v>
      </c>
      <c r="L25" s="176"/>
      <c r="M25" s="176"/>
      <c r="N25" s="176"/>
    </row>
    <row r="26" spans="1:14" ht="17" thickBot="1">
      <c r="A26" s="4" t="s">
        <v>127</v>
      </c>
      <c r="D26" s="70">
        <v>5</v>
      </c>
      <c r="E26" s="28" t="s">
        <v>4</v>
      </c>
      <c r="F26" s="4" t="s">
        <v>118</v>
      </c>
      <c r="I26" s="69">
        <v>4</v>
      </c>
      <c r="K26" s="176" t="s">
        <v>344</v>
      </c>
      <c r="L26" s="176"/>
      <c r="M26" s="176"/>
      <c r="N26" s="176"/>
    </row>
    <row r="27" spans="1:14" ht="18" thickTop="1" thickBot="1">
      <c r="E27" s="28" t="s">
        <v>4</v>
      </c>
      <c r="F27" s="4" t="s">
        <v>120</v>
      </c>
      <c r="I27" s="76">
        <v>1</v>
      </c>
      <c r="K27" s="176" t="s">
        <v>345</v>
      </c>
      <c r="L27" s="176"/>
      <c r="M27" s="176"/>
      <c r="N27" s="176"/>
    </row>
    <row r="28" spans="1:14" ht="17" thickTop="1">
      <c r="A28" s="27" t="s">
        <v>169</v>
      </c>
      <c r="E28" s="34" t="s">
        <v>4</v>
      </c>
      <c r="F28" s="8" t="s">
        <v>122</v>
      </c>
      <c r="G28" s="8"/>
      <c r="H28" s="8"/>
      <c r="I28" s="77">
        <v>10</v>
      </c>
      <c r="K28" s="176"/>
      <c r="L28" s="176"/>
      <c r="M28" s="176"/>
      <c r="N28" s="176"/>
    </row>
    <row r="29" spans="1:14">
      <c r="A29" s="4" t="s">
        <v>294</v>
      </c>
      <c r="D29" s="75">
        <v>5</v>
      </c>
      <c r="E29" s="28"/>
      <c r="I29" s="83"/>
    </row>
    <row r="30" spans="1:14">
      <c r="A30" s="4" t="s">
        <v>168</v>
      </c>
      <c r="D30" s="69">
        <v>265</v>
      </c>
      <c r="E30" s="28"/>
      <c r="I30" s="83"/>
    </row>
    <row r="31" spans="1:14" ht="15.75" customHeight="1">
      <c r="D31" s="84"/>
    </row>
    <row r="32" spans="1:14" ht="16" customHeight="1">
      <c r="A32" s="27" t="s">
        <v>69</v>
      </c>
      <c r="D32" s="28"/>
    </row>
    <row r="33" spans="1:14" ht="34">
      <c r="B33" s="8" t="s">
        <v>70</v>
      </c>
      <c r="C33" s="8"/>
      <c r="D33" s="8"/>
      <c r="E33" s="8"/>
      <c r="F33" s="5" t="s">
        <v>124</v>
      </c>
      <c r="G33" s="8"/>
      <c r="H33" s="5" t="s">
        <v>129</v>
      </c>
      <c r="I33" s="8" t="s">
        <v>76</v>
      </c>
    </row>
    <row r="34" spans="1:14" ht="15" customHeight="1">
      <c r="B34" s="27" t="str">
        <f>+'Step 1 - Feed Cost Input Sheet '!A24</f>
        <v>20% Liquid</v>
      </c>
      <c r="F34" s="81">
        <v>0</v>
      </c>
      <c r="G34" s="4">
        <f>+(F34/100)*$K$20</f>
        <v>0</v>
      </c>
      <c r="H34" s="35">
        <f>+'Step 1 - Feed Cost Input Sheet '!B24</f>
        <v>15</v>
      </c>
      <c r="I34" s="4" t="s">
        <v>71</v>
      </c>
      <c r="K34" s="29" t="s">
        <v>346</v>
      </c>
      <c r="L34" s="29"/>
      <c r="M34" s="29"/>
      <c r="N34" s="29"/>
    </row>
    <row r="35" spans="1:14">
      <c r="B35" s="27" t="str">
        <f>+'Step 1 - Feed Cost Input Sheet '!A25</f>
        <v>Mineral &amp; Salt</v>
      </c>
      <c r="F35" s="81">
        <v>0.12</v>
      </c>
      <c r="G35" s="4">
        <f>+(F35/100)*$K$20</f>
        <v>0.252</v>
      </c>
      <c r="H35" s="35">
        <f>+'Step 1 - Feed Cost Input Sheet '!B25</f>
        <v>22</v>
      </c>
      <c r="I35" s="4" t="s">
        <v>71</v>
      </c>
      <c r="K35" s="29" t="s">
        <v>347</v>
      </c>
      <c r="L35" s="29"/>
      <c r="M35" s="29"/>
      <c r="N35" s="29"/>
    </row>
    <row r="36" spans="1:14">
      <c r="B36" s="27" t="str">
        <f>+'Step 1 - Feed Cost Input Sheet '!A26</f>
        <v>Dry Corn</v>
      </c>
      <c r="F36" s="81">
        <v>0</v>
      </c>
      <c r="G36" s="4">
        <f>+(F36/56)*$K$20</f>
        <v>0</v>
      </c>
      <c r="H36" s="35">
        <f>+'Step 1 - Feed Cost Input Sheet '!B26</f>
        <v>4</v>
      </c>
      <c r="I36" s="4" t="s">
        <v>72</v>
      </c>
      <c r="K36" s="29" t="s">
        <v>348</v>
      </c>
      <c r="L36" s="29"/>
      <c r="M36" s="29"/>
      <c r="N36" s="29"/>
    </row>
    <row r="37" spans="1:14">
      <c r="B37" s="27" t="str">
        <f>+'Step 1 - Feed Cost Input Sheet '!A27</f>
        <v>High Moisture Corn</v>
      </c>
      <c r="F37" s="81">
        <v>0</v>
      </c>
      <c r="G37" s="4">
        <f>+(F37/56)*$K$20</f>
        <v>0</v>
      </c>
      <c r="H37" s="35">
        <f>+'Step 1 - Feed Cost Input Sheet '!B27</f>
        <v>2.25</v>
      </c>
      <c r="I37" s="4" t="s">
        <v>72</v>
      </c>
      <c r="K37" s="29" t="s">
        <v>349</v>
      </c>
      <c r="L37" s="29"/>
      <c r="M37" s="29"/>
      <c r="N37" s="29"/>
    </row>
    <row r="38" spans="1:14" ht="15" customHeight="1">
      <c r="B38" s="27" t="str">
        <f>+'Step 1 - Feed Cost Input Sheet '!A28</f>
        <v>Hay</v>
      </c>
      <c r="F38" s="81">
        <v>6</v>
      </c>
      <c r="G38" s="4">
        <f>+(F38/2000)*$K$20</f>
        <v>0.63</v>
      </c>
      <c r="H38" s="35">
        <f>+'Step 1 - Feed Cost Input Sheet '!B28</f>
        <v>200</v>
      </c>
      <c r="I38" s="4" t="s">
        <v>73</v>
      </c>
      <c r="K38" s="29" t="s">
        <v>350</v>
      </c>
      <c r="L38" s="29"/>
      <c r="M38" s="29"/>
      <c r="N38" s="29"/>
    </row>
    <row r="39" spans="1:14">
      <c r="B39" s="27" t="str">
        <f>+'Step 1 - Feed Cost Input Sheet '!A29</f>
        <v>Alfalfa</v>
      </c>
      <c r="F39" s="81">
        <v>2</v>
      </c>
      <c r="G39" s="4">
        <f>+(F39/2000)*$K$20</f>
        <v>0.21</v>
      </c>
      <c r="H39" s="35">
        <f>+'Step 1 - Feed Cost Input Sheet '!B29</f>
        <v>250</v>
      </c>
      <c r="I39" s="4" t="s">
        <v>73</v>
      </c>
      <c r="K39" s="29" t="s">
        <v>351</v>
      </c>
      <c r="L39" s="29"/>
      <c r="M39" s="29"/>
      <c r="N39" s="29"/>
    </row>
    <row r="40" spans="1:14">
      <c r="B40" s="27" t="str">
        <f>+'Step 1 - Feed Cost Input Sheet '!A30</f>
        <v>Silage</v>
      </c>
      <c r="F40" s="81">
        <v>24</v>
      </c>
      <c r="G40" s="4">
        <f>+(F40/2000)*$K$20</f>
        <v>2.52</v>
      </c>
      <c r="H40" s="35">
        <f>+'Step 1 - Feed Cost Input Sheet '!B30</f>
        <v>40</v>
      </c>
      <c r="I40" s="4" t="s">
        <v>73</v>
      </c>
      <c r="K40" s="29" t="s">
        <v>352</v>
      </c>
      <c r="L40" s="29"/>
      <c r="M40" s="29"/>
      <c r="N40" s="29"/>
    </row>
    <row r="41" spans="1:14">
      <c r="B41" s="27" t="str">
        <f>+'Step 1 - Feed Cost Input Sheet '!A31</f>
        <v>Corn Stover</v>
      </c>
      <c r="F41" s="81">
        <v>12</v>
      </c>
      <c r="G41" s="4">
        <f>+(F41/2000)*$K$20</f>
        <v>1.26</v>
      </c>
      <c r="H41" s="35">
        <f>+'Step 1 - Feed Cost Input Sheet '!B31</f>
        <v>90</v>
      </c>
      <c r="I41" s="4" t="s">
        <v>73</v>
      </c>
      <c r="K41" s="29" t="s">
        <v>353</v>
      </c>
      <c r="L41" s="29"/>
      <c r="M41" s="29"/>
      <c r="N41" s="29"/>
    </row>
    <row r="42" spans="1:14">
      <c r="B42" s="27" t="str">
        <f>+'Step 1 - Feed Cost Input Sheet '!A32</f>
        <v>Dried Distillers</v>
      </c>
      <c r="F42" s="81">
        <v>0</v>
      </c>
      <c r="G42" s="4">
        <f>+(F42/2000)*$K$20</f>
        <v>0</v>
      </c>
      <c r="H42" s="35">
        <f>+'Step 1 - Feed Cost Input Sheet '!B32</f>
        <v>125</v>
      </c>
      <c r="I42" s="4" t="s">
        <v>73</v>
      </c>
      <c r="K42" s="29"/>
      <c r="L42" s="29"/>
      <c r="M42" s="29"/>
      <c r="N42" s="29"/>
    </row>
    <row r="43" spans="1:14">
      <c r="A43" s="8"/>
      <c r="B43" s="37" t="str">
        <f>+'Step 1 - Feed Cost Input Sheet '!A33</f>
        <v>Pasture</v>
      </c>
      <c r="C43" s="8"/>
      <c r="D43" s="38"/>
      <c r="E43" s="8"/>
      <c r="F43" s="8">
        <f>+D26</f>
        <v>5</v>
      </c>
      <c r="G43" s="43"/>
      <c r="H43" s="41">
        <f>+'Step 1 - Feed Cost Input Sheet '!B33</f>
        <v>55</v>
      </c>
      <c r="I43" s="8" t="s">
        <v>101</v>
      </c>
    </row>
    <row r="44" spans="1:14">
      <c r="B44" s="27"/>
      <c r="D44" s="23"/>
      <c r="H44" s="79"/>
    </row>
    <row r="45" spans="1:14" ht="20" customHeight="1">
      <c r="A45" s="192" t="s">
        <v>326</v>
      </c>
      <c r="B45" s="174"/>
      <c r="C45" s="174"/>
      <c r="D45" s="174"/>
      <c r="E45" s="174"/>
      <c r="F45" s="174"/>
      <c r="H45" s="79"/>
    </row>
    <row r="46" spans="1:14" ht="19" customHeight="1">
      <c r="A46" s="192" t="s">
        <v>341</v>
      </c>
      <c r="B46" s="174"/>
      <c r="C46" s="174"/>
      <c r="D46" s="174"/>
      <c r="E46" s="174"/>
      <c r="F46" s="174"/>
      <c r="H46" s="79"/>
    </row>
    <row r="47" spans="1:14" ht="16" customHeight="1">
      <c r="A47" s="173"/>
      <c r="B47" s="173"/>
      <c r="C47" s="173"/>
      <c r="D47" s="173"/>
      <c r="E47" s="173"/>
      <c r="F47" s="173"/>
      <c r="H47" s="79"/>
    </row>
    <row r="48" spans="1:14" ht="16" customHeight="1">
      <c r="A48" s="173"/>
      <c r="B48" s="173"/>
      <c r="C48" s="173"/>
      <c r="D48" s="173"/>
      <c r="E48" s="173"/>
      <c r="F48" s="173"/>
      <c r="H48" s="79"/>
    </row>
    <row r="49" spans="1:9" ht="16" customHeight="1">
      <c r="A49" s="173"/>
      <c r="B49" s="173"/>
      <c r="C49" s="173"/>
      <c r="D49" s="173"/>
      <c r="E49" s="173"/>
      <c r="F49" s="173"/>
      <c r="H49" s="79"/>
    </row>
    <row r="50" spans="1:9">
      <c r="A50" s="178">
        <f>+'Step 1 - Feed Cost Input Sheet '!F23</f>
        <v>45229</v>
      </c>
      <c r="B50" s="178"/>
      <c r="D50" s="23"/>
      <c r="H50" s="79"/>
    </row>
    <row r="51" spans="1:9">
      <c r="A51" s="23" t="s">
        <v>10</v>
      </c>
    </row>
    <row r="52" spans="1:9">
      <c r="A52" s="26" t="s">
        <v>143</v>
      </c>
    </row>
    <row r="53" spans="1:9">
      <c r="C53" s="23" t="str">
        <f t="shared" ref="C53:C62" si="0">+B34</f>
        <v>20% Liquid</v>
      </c>
      <c r="E53" s="7">
        <f t="shared" ref="E53:E61" si="1">+G34</f>
        <v>0</v>
      </c>
      <c r="F53" s="7" t="s">
        <v>15</v>
      </c>
      <c r="G53" s="44">
        <f t="shared" ref="G53:G62" si="2">+H34</f>
        <v>15</v>
      </c>
      <c r="H53" s="44">
        <f t="shared" ref="H53:H62" si="3">+E53*G53</f>
        <v>0</v>
      </c>
    </row>
    <row r="54" spans="1:9">
      <c r="C54" s="23" t="str">
        <f t="shared" si="0"/>
        <v>Mineral &amp; Salt</v>
      </c>
      <c r="E54" s="7">
        <f t="shared" si="1"/>
        <v>0.252</v>
      </c>
      <c r="F54" s="7" t="s">
        <v>15</v>
      </c>
      <c r="G54" s="44">
        <f t="shared" si="2"/>
        <v>22</v>
      </c>
      <c r="H54" s="44">
        <f t="shared" si="3"/>
        <v>5.5440000000000005</v>
      </c>
      <c r="I54" s="45"/>
    </row>
    <row r="55" spans="1:9">
      <c r="C55" s="4" t="str">
        <f t="shared" si="0"/>
        <v>Dry Corn</v>
      </c>
      <c r="E55" s="7">
        <f t="shared" si="1"/>
        <v>0</v>
      </c>
      <c r="F55" s="7" t="s">
        <v>49</v>
      </c>
      <c r="G55" s="44">
        <f t="shared" si="2"/>
        <v>4</v>
      </c>
      <c r="H55" s="44">
        <f t="shared" si="3"/>
        <v>0</v>
      </c>
      <c r="I55" s="45"/>
    </row>
    <row r="56" spans="1:9">
      <c r="C56" s="4" t="str">
        <f t="shared" si="0"/>
        <v>High Moisture Corn</v>
      </c>
      <c r="E56" s="7">
        <f t="shared" si="1"/>
        <v>0</v>
      </c>
      <c r="F56" s="7" t="s">
        <v>49</v>
      </c>
      <c r="G56" s="44">
        <f t="shared" si="2"/>
        <v>2.25</v>
      </c>
      <c r="H56" s="44">
        <f t="shared" si="3"/>
        <v>0</v>
      </c>
    </row>
    <row r="57" spans="1:9">
      <c r="C57" s="4" t="str">
        <f t="shared" si="0"/>
        <v>Hay</v>
      </c>
      <c r="E57" s="7">
        <f t="shared" si="1"/>
        <v>0.63</v>
      </c>
      <c r="F57" s="7" t="s">
        <v>50</v>
      </c>
      <c r="G57" s="44">
        <f t="shared" si="2"/>
        <v>200</v>
      </c>
      <c r="H57" s="44">
        <f t="shared" si="3"/>
        <v>126</v>
      </c>
    </row>
    <row r="58" spans="1:9">
      <c r="C58" s="4" t="str">
        <f t="shared" si="0"/>
        <v>Alfalfa</v>
      </c>
      <c r="E58" s="7">
        <f t="shared" si="1"/>
        <v>0.21</v>
      </c>
      <c r="F58" s="7" t="s">
        <v>50</v>
      </c>
      <c r="G58" s="44">
        <f t="shared" si="2"/>
        <v>250</v>
      </c>
      <c r="H58" s="44">
        <f t="shared" si="3"/>
        <v>52.5</v>
      </c>
    </row>
    <row r="59" spans="1:9">
      <c r="C59" s="4" t="str">
        <f t="shared" si="0"/>
        <v>Silage</v>
      </c>
      <c r="E59" s="7">
        <f t="shared" si="1"/>
        <v>2.52</v>
      </c>
      <c r="F59" s="7" t="s">
        <v>50</v>
      </c>
      <c r="G59" s="44">
        <f t="shared" si="2"/>
        <v>40</v>
      </c>
      <c r="H59" s="44">
        <f t="shared" si="3"/>
        <v>100.8</v>
      </c>
    </row>
    <row r="60" spans="1:9">
      <c r="C60" s="23" t="str">
        <f t="shared" si="0"/>
        <v>Corn Stover</v>
      </c>
      <c r="E60" s="7">
        <f t="shared" si="1"/>
        <v>1.26</v>
      </c>
      <c r="F60" s="7" t="s">
        <v>50</v>
      </c>
      <c r="G60" s="44">
        <f t="shared" si="2"/>
        <v>90</v>
      </c>
      <c r="H60" s="44">
        <f t="shared" si="3"/>
        <v>113.4</v>
      </c>
    </row>
    <row r="61" spans="1:9">
      <c r="C61" s="23" t="str">
        <f t="shared" si="0"/>
        <v>Dried Distillers</v>
      </c>
      <c r="E61" s="7">
        <f t="shared" si="1"/>
        <v>0</v>
      </c>
      <c r="F61" s="7" t="s">
        <v>50</v>
      </c>
      <c r="G61" s="44">
        <f t="shared" si="2"/>
        <v>125</v>
      </c>
      <c r="H61" s="44">
        <f t="shared" si="3"/>
        <v>0</v>
      </c>
      <c r="I61" s="45"/>
    </row>
    <row r="62" spans="1:9">
      <c r="C62" s="23" t="str">
        <f t="shared" si="0"/>
        <v>Pasture</v>
      </c>
      <c r="E62" s="7">
        <f>+F43</f>
        <v>5</v>
      </c>
      <c r="F62" s="7" t="s">
        <v>110</v>
      </c>
      <c r="G62" s="44">
        <f t="shared" si="2"/>
        <v>55</v>
      </c>
      <c r="H62" s="44">
        <f t="shared" si="3"/>
        <v>275</v>
      </c>
      <c r="I62" s="45"/>
    </row>
    <row r="63" spans="1:9">
      <c r="B63" s="23" t="s">
        <v>99</v>
      </c>
      <c r="I63" s="45">
        <f>+SUM(H53:H62)</f>
        <v>673.24400000000003</v>
      </c>
    </row>
    <row r="64" spans="1:9">
      <c r="B64" s="23" t="s">
        <v>16</v>
      </c>
      <c r="I64" s="45">
        <f>D15</f>
        <v>50</v>
      </c>
    </row>
    <row r="65" spans="1:21">
      <c r="B65" s="23" t="s">
        <v>17</v>
      </c>
      <c r="I65" s="45">
        <f>D16</f>
        <v>1</v>
      </c>
    </row>
    <row r="66" spans="1:21">
      <c r="B66" s="23" t="s">
        <v>18</v>
      </c>
      <c r="I66" s="45">
        <f>D17</f>
        <v>0</v>
      </c>
    </row>
    <row r="67" spans="1:21">
      <c r="B67" s="23" t="s">
        <v>121</v>
      </c>
      <c r="I67" s="46">
        <f>+IF(I24=0,(I25/I27*I26/I28),(I24*I25/I28))</f>
        <v>0.4</v>
      </c>
    </row>
    <row r="68" spans="1:21" ht="17" thickBot="1">
      <c r="B68" s="23" t="s">
        <v>131</v>
      </c>
      <c r="I68" s="85">
        <f>+D18</f>
        <v>0</v>
      </c>
    </row>
    <row r="69" spans="1:21" ht="17" thickBot="1">
      <c r="B69" s="23" t="s">
        <v>14</v>
      </c>
      <c r="D69" s="26" t="s">
        <v>19</v>
      </c>
      <c r="I69" s="86">
        <f>SUM(I63:I68)</f>
        <v>724.64400000000001</v>
      </c>
    </row>
    <row r="71" spans="1:21">
      <c r="A71" s="26" t="s">
        <v>280</v>
      </c>
      <c r="L71" s="27"/>
    </row>
    <row r="72" spans="1:21" ht="15.75" customHeight="1">
      <c r="B72" s="23" t="s">
        <v>138</v>
      </c>
      <c r="E72" s="49">
        <f>+I15</f>
        <v>200</v>
      </c>
      <c r="F72" s="50" t="s">
        <v>139</v>
      </c>
      <c r="G72" s="51">
        <f>+I19</f>
        <v>6</v>
      </c>
      <c r="H72" s="4" t="s">
        <v>140</v>
      </c>
      <c r="I72" s="52">
        <f>+(G72*(I20/3))/E72</f>
        <v>50</v>
      </c>
      <c r="K72" s="23"/>
    </row>
    <row r="73" spans="1:21">
      <c r="B73" s="23" t="s">
        <v>26</v>
      </c>
      <c r="E73" s="31">
        <f>+E72</f>
        <v>200</v>
      </c>
      <c r="F73" s="50" t="s">
        <v>139</v>
      </c>
      <c r="G73" s="51">
        <f>+I17</f>
        <v>6</v>
      </c>
      <c r="H73" s="23" t="s">
        <v>165</v>
      </c>
      <c r="I73" s="46">
        <f>(G73*I16)/E73-(I18/E73)</f>
        <v>68</v>
      </c>
      <c r="T73" s="45"/>
      <c r="U73" s="54"/>
    </row>
    <row r="74" spans="1:21">
      <c r="B74" s="23" t="s">
        <v>28</v>
      </c>
      <c r="D74" s="55"/>
      <c r="E74" s="56"/>
      <c r="F74" s="11"/>
      <c r="G74" s="45"/>
      <c r="H74" s="23"/>
      <c r="I74" s="46">
        <f>+I63</f>
        <v>673.24400000000003</v>
      </c>
      <c r="T74" s="45"/>
      <c r="U74" s="54"/>
    </row>
    <row r="75" spans="1:21">
      <c r="B75" s="23" t="s">
        <v>30</v>
      </c>
      <c r="D75" s="55"/>
      <c r="E75" s="56"/>
      <c r="F75" s="11"/>
      <c r="G75" s="45"/>
      <c r="H75" s="23"/>
      <c r="I75" s="57">
        <f>+SUM(I64:I68)</f>
        <v>51.4</v>
      </c>
      <c r="T75" s="45"/>
      <c r="U75" s="54"/>
    </row>
    <row r="76" spans="1:21" ht="17" thickBot="1">
      <c r="B76" s="23" t="s">
        <v>142</v>
      </c>
      <c r="D76" s="23" t="s">
        <v>146</v>
      </c>
      <c r="F76" s="11"/>
      <c r="G76" s="45"/>
      <c r="H76" s="23"/>
      <c r="I76" s="58">
        <f>(D22+D23+SUM(I72:I75))*(D21/100)</f>
        <v>53.858640000000001</v>
      </c>
      <c r="T76" s="45"/>
      <c r="U76" s="54"/>
    </row>
    <row r="77" spans="1:21" ht="17" thickTop="1">
      <c r="B77" s="27" t="s">
        <v>133</v>
      </c>
      <c r="D77" s="23"/>
      <c r="I77" s="35">
        <f>SUM(I72:I76)</f>
        <v>896.50264000000004</v>
      </c>
      <c r="T77" s="45"/>
      <c r="U77" s="54"/>
    </row>
    <row r="78" spans="1:21">
      <c r="B78" s="27"/>
      <c r="D78" s="23"/>
      <c r="I78" s="35"/>
      <c r="T78" s="45"/>
      <c r="U78" s="54"/>
    </row>
    <row r="79" spans="1:21">
      <c r="A79" s="27" t="s">
        <v>291</v>
      </c>
      <c r="B79" s="27"/>
      <c r="D79" s="23"/>
      <c r="I79" s="87"/>
      <c r="T79" s="45"/>
      <c r="U79" s="54"/>
    </row>
    <row r="80" spans="1:21">
      <c r="B80" s="4" t="s">
        <v>292</v>
      </c>
      <c r="I80" s="88">
        <f>((D29*D30)/2)+(((D29*0.8)*(D30+(D30*0.05))/2))</f>
        <v>1219</v>
      </c>
      <c r="T80" s="45"/>
      <c r="U80" s="54"/>
    </row>
    <row r="81" spans="1:21" ht="17" thickBot="1">
      <c r="B81" s="4" t="s">
        <v>167</v>
      </c>
      <c r="I81" s="89">
        <f>(I17*I18)/I15</f>
        <v>42</v>
      </c>
      <c r="T81" s="45"/>
      <c r="U81" s="54"/>
    </row>
    <row r="82" spans="1:21" ht="17" thickTop="1">
      <c r="B82" s="27" t="s">
        <v>271</v>
      </c>
      <c r="I82" s="90">
        <f>SUM(I80:I81)</f>
        <v>1261</v>
      </c>
      <c r="T82" s="45"/>
      <c r="U82" s="54"/>
    </row>
    <row r="83" spans="1:21">
      <c r="T83" s="45"/>
      <c r="U83" s="54"/>
    </row>
    <row r="84" spans="1:21">
      <c r="A84" s="26" t="s">
        <v>166</v>
      </c>
      <c r="T84" s="60"/>
    </row>
    <row r="85" spans="1:21" ht="16" customHeight="1">
      <c r="B85" s="180"/>
      <c r="C85" s="183" t="s">
        <v>148</v>
      </c>
      <c r="D85" s="183"/>
      <c r="E85" s="183"/>
      <c r="F85" s="183"/>
      <c r="G85" s="183"/>
      <c r="H85" s="183"/>
      <c r="I85" s="183"/>
      <c r="T85" s="45"/>
      <c r="U85" s="54"/>
    </row>
    <row r="86" spans="1:21" ht="30" customHeight="1">
      <c r="A86" s="179"/>
      <c r="B86" s="182" t="s">
        <v>132</v>
      </c>
      <c r="C86" s="61">
        <f>+D86-1</f>
        <v>54</v>
      </c>
      <c r="D86" s="62">
        <f>+H43</f>
        <v>55</v>
      </c>
      <c r="E86" s="62">
        <f>+D86+1</f>
        <v>56</v>
      </c>
      <c r="F86" s="62">
        <f>+E86+1</f>
        <v>57</v>
      </c>
      <c r="G86" s="62">
        <f>+F86+1</f>
        <v>58</v>
      </c>
      <c r="H86" s="62">
        <f>+G86+1</f>
        <v>59</v>
      </c>
      <c r="I86" s="62">
        <f>+H86+1</f>
        <v>60</v>
      </c>
    </row>
    <row r="87" spans="1:21">
      <c r="A87" s="63"/>
      <c r="B87" s="64">
        <f>+H39-10</f>
        <v>240</v>
      </c>
      <c r="C87" s="65">
        <f t="shared" ref="C87:C92" si="4">+SUM($H$53:$H$56)+$H$57+($E$58*B87)+SUM($H$59:$H$61)+($E$62*$C$86)</f>
        <v>666.14400000000001</v>
      </c>
      <c r="D87" s="65">
        <f t="shared" ref="D87:D92" si="5">+SUM($H$53:$H$56)+$H$57+($E$58*B87)+SUM($H$59:$H$61)+$E$62*$D$86</f>
        <v>671.14400000000001</v>
      </c>
      <c r="E87" s="65">
        <f t="shared" ref="E87:E92" si="6">+SUM($H$53:$H$56)+$H$57+($E$58*B87)+SUM($H$59:$H$61)+$E$62*$E$86</f>
        <v>676.14400000000001</v>
      </c>
      <c r="F87" s="65">
        <f t="shared" ref="F87:F92" si="7">+SUM($H$53:$H$56)+$H$57+($E$58*B87)+SUM($H$59:$H$61)+$E$62*$F$86</f>
        <v>681.14400000000001</v>
      </c>
      <c r="G87" s="65">
        <f t="shared" ref="G87:G92" si="8">+SUM($H$53:$H$56)+$H$57+($E$58*B87)+SUM($H$59:$H$61)+$E$62*$G$86</f>
        <v>686.14400000000001</v>
      </c>
      <c r="H87" s="65">
        <f t="shared" ref="H87:H92" si="9">+SUM($H$53:$H$56)+$H$57+($E$58*B87)+SUM($H$59:$H$61)+$E$62*$H$86</f>
        <v>691.14400000000001</v>
      </c>
      <c r="I87" s="65">
        <f t="shared" ref="I87:I92" si="10">+SUM($H$53:$H$56)+$H$57+($E$58*B87)+SUM($H$59:$H$61)+$E$62*$I$86</f>
        <v>696.14400000000001</v>
      </c>
    </row>
    <row r="88" spans="1:21">
      <c r="B88" s="64">
        <f>+H39</f>
        <v>250</v>
      </c>
      <c r="C88" s="65">
        <f t="shared" si="4"/>
        <v>668.24400000000003</v>
      </c>
      <c r="D88" s="65">
        <f t="shared" si="5"/>
        <v>673.24400000000003</v>
      </c>
      <c r="E88" s="65">
        <f t="shared" si="6"/>
        <v>678.24400000000003</v>
      </c>
      <c r="F88" s="65">
        <f t="shared" si="7"/>
        <v>683.24400000000003</v>
      </c>
      <c r="G88" s="65">
        <f t="shared" si="8"/>
        <v>688.24400000000003</v>
      </c>
      <c r="H88" s="65">
        <f t="shared" si="9"/>
        <v>693.24400000000003</v>
      </c>
      <c r="I88" s="65">
        <f>+SUM($H$53:$H$56)+$H$57+($E$58*B88)+SUM($H$59:$H$61)+$E$62*$I$86</f>
        <v>698.24400000000003</v>
      </c>
    </row>
    <row r="89" spans="1:21">
      <c r="B89" s="64">
        <f>+B88+10</f>
        <v>260</v>
      </c>
      <c r="C89" s="65">
        <f t="shared" si="4"/>
        <v>670.34400000000005</v>
      </c>
      <c r="D89" s="65">
        <f t="shared" si="5"/>
        <v>675.34400000000005</v>
      </c>
      <c r="E89" s="65">
        <f t="shared" si="6"/>
        <v>680.34400000000005</v>
      </c>
      <c r="F89" s="65">
        <f t="shared" si="7"/>
        <v>685.34400000000005</v>
      </c>
      <c r="G89" s="65">
        <f t="shared" si="8"/>
        <v>690.34400000000005</v>
      </c>
      <c r="H89" s="65">
        <f t="shared" si="9"/>
        <v>695.34400000000005</v>
      </c>
      <c r="I89" s="65">
        <f t="shared" si="10"/>
        <v>700.34400000000005</v>
      </c>
    </row>
    <row r="90" spans="1:21">
      <c r="B90" s="64">
        <f>+B89+10</f>
        <v>270</v>
      </c>
      <c r="C90" s="65">
        <f t="shared" si="4"/>
        <v>672.44399999999996</v>
      </c>
      <c r="D90" s="65">
        <f t="shared" si="5"/>
        <v>677.44399999999996</v>
      </c>
      <c r="E90" s="65">
        <f t="shared" si="6"/>
        <v>682.44399999999996</v>
      </c>
      <c r="F90" s="65">
        <f t="shared" si="7"/>
        <v>687.44399999999996</v>
      </c>
      <c r="G90" s="65">
        <f t="shared" si="8"/>
        <v>692.44399999999996</v>
      </c>
      <c r="H90" s="65">
        <f t="shared" si="9"/>
        <v>697.44399999999996</v>
      </c>
      <c r="I90" s="65">
        <f t="shared" si="10"/>
        <v>702.44399999999996</v>
      </c>
    </row>
    <row r="91" spans="1:21">
      <c r="B91" s="64">
        <f>+B90+10</f>
        <v>280</v>
      </c>
      <c r="C91" s="65">
        <f t="shared" si="4"/>
        <v>674.54399999999998</v>
      </c>
      <c r="D91" s="65">
        <f t="shared" si="5"/>
        <v>679.54399999999998</v>
      </c>
      <c r="E91" s="65">
        <f t="shared" si="6"/>
        <v>684.54399999999998</v>
      </c>
      <c r="F91" s="65">
        <f t="shared" si="7"/>
        <v>689.54399999999998</v>
      </c>
      <c r="G91" s="65">
        <f t="shared" si="8"/>
        <v>694.54399999999998</v>
      </c>
      <c r="H91" s="65">
        <f t="shared" si="9"/>
        <v>699.54399999999998</v>
      </c>
      <c r="I91" s="65">
        <f t="shared" si="10"/>
        <v>704.54399999999998</v>
      </c>
    </row>
    <row r="92" spans="1:21">
      <c r="B92" s="64">
        <f>+B91+10</f>
        <v>290</v>
      </c>
      <c r="C92" s="65">
        <f t="shared" si="4"/>
        <v>676.64400000000001</v>
      </c>
      <c r="D92" s="65">
        <f t="shared" si="5"/>
        <v>681.64400000000001</v>
      </c>
      <c r="E92" s="65">
        <f t="shared" si="6"/>
        <v>686.64400000000001</v>
      </c>
      <c r="F92" s="65">
        <f t="shared" si="7"/>
        <v>691.64400000000001</v>
      </c>
      <c r="G92" s="65">
        <f t="shared" si="8"/>
        <v>696.64400000000001</v>
      </c>
      <c r="H92" s="65">
        <f t="shared" si="9"/>
        <v>701.64400000000001</v>
      </c>
      <c r="I92" s="65">
        <f t="shared" si="10"/>
        <v>706.64400000000001</v>
      </c>
    </row>
    <row r="94" spans="1:21" s="27" customFormat="1">
      <c r="B94" s="27" t="s">
        <v>163</v>
      </c>
      <c r="D94" s="91">
        <f>I21</f>
        <v>0.85</v>
      </c>
      <c r="E94" s="27" t="s">
        <v>164</v>
      </c>
      <c r="J94"/>
    </row>
    <row r="95" spans="1:21">
      <c r="C95" s="183" t="s">
        <v>161</v>
      </c>
      <c r="D95" s="183"/>
      <c r="E95" s="183"/>
      <c r="F95" s="183"/>
      <c r="G95" s="183"/>
      <c r="H95" s="183"/>
      <c r="I95" s="183"/>
    </row>
    <row r="96" spans="1:21">
      <c r="B96" s="92" t="s">
        <v>160</v>
      </c>
      <c r="C96" s="93">
        <f>D96+5</f>
        <v>280</v>
      </c>
      <c r="D96" s="93">
        <f>E96+5</f>
        <v>275</v>
      </c>
      <c r="E96" s="93">
        <f>F96+5</f>
        <v>270</v>
      </c>
      <c r="F96" s="93">
        <f>D30</f>
        <v>265</v>
      </c>
      <c r="G96" s="93">
        <f>F96-5</f>
        <v>260</v>
      </c>
      <c r="H96" s="93">
        <f>G96-5</f>
        <v>255</v>
      </c>
      <c r="I96" s="93">
        <f>H96-5</f>
        <v>250</v>
      </c>
    </row>
    <row r="97" spans="2:10">
      <c r="B97" s="94">
        <f>B98-50</f>
        <v>350</v>
      </c>
      <c r="C97" s="4">
        <f t="shared" ref="C97:C102" si="11">(($C$96*$B97/100)*$I$21)-$I$77</f>
        <v>-63.502640000000042</v>
      </c>
      <c r="D97" s="4">
        <f t="shared" ref="D97:D102" si="12">(($D$96*$B97/100)*$I$21)-$I$77</f>
        <v>-78.377640000000042</v>
      </c>
      <c r="E97" s="4">
        <f t="shared" ref="E97:E102" si="13">(($E$96*$B97/100)*$I$21)-$I$77</f>
        <v>-93.252640000000042</v>
      </c>
      <c r="F97" s="4">
        <f t="shared" ref="F97:F102" si="14">(($F$96*$B97/100)*$I$21)-$I$77</f>
        <v>-108.12764000000004</v>
      </c>
      <c r="G97" s="4">
        <f t="shared" ref="G97:G102" si="15">(($G$96*$B97/100)*$I$21)-$I$77</f>
        <v>-123.00264000000004</v>
      </c>
      <c r="H97" s="4">
        <f t="shared" ref="H97:H102" si="16">(($H$96*$B97/100)*$I$21)-$I$77</f>
        <v>-137.87764000000004</v>
      </c>
      <c r="I97" s="4">
        <f t="shared" ref="I97:I102" si="17">(($I$96*$B97/100)*$I$21)-$I$77</f>
        <v>-152.75264000000004</v>
      </c>
    </row>
    <row r="98" spans="2:10">
      <c r="B98" s="94">
        <f>B99-50</f>
        <v>400</v>
      </c>
      <c r="C98" s="4">
        <f t="shared" si="11"/>
        <v>55.497359999999958</v>
      </c>
      <c r="D98" s="4">
        <f t="shared" si="12"/>
        <v>38.497359999999958</v>
      </c>
      <c r="E98" s="4">
        <f t="shared" si="13"/>
        <v>21.497359999999958</v>
      </c>
      <c r="F98" s="4">
        <f t="shared" si="14"/>
        <v>4.4973599999999578</v>
      </c>
      <c r="G98" s="4">
        <f t="shared" si="15"/>
        <v>-12.502640000000042</v>
      </c>
      <c r="H98" s="4">
        <f t="shared" si="16"/>
        <v>-29.502640000000042</v>
      </c>
      <c r="I98" s="4">
        <f t="shared" si="17"/>
        <v>-46.502640000000042</v>
      </c>
    </row>
    <row r="99" spans="2:10">
      <c r="B99" s="94">
        <f>B100-50</f>
        <v>450</v>
      </c>
      <c r="C99" s="4">
        <f t="shared" si="11"/>
        <v>174.49735999999996</v>
      </c>
      <c r="D99" s="4">
        <f t="shared" si="12"/>
        <v>155.37235999999996</v>
      </c>
      <c r="E99" s="4">
        <f t="shared" si="13"/>
        <v>136.24735999999996</v>
      </c>
      <c r="F99" s="4">
        <f t="shared" si="14"/>
        <v>117.12235999999996</v>
      </c>
      <c r="G99" s="4">
        <f t="shared" si="15"/>
        <v>97.997359999999958</v>
      </c>
      <c r="H99" s="4">
        <f t="shared" si="16"/>
        <v>78.872359999999958</v>
      </c>
      <c r="I99" s="4">
        <f t="shared" si="17"/>
        <v>59.747359999999958</v>
      </c>
    </row>
    <row r="100" spans="2:10">
      <c r="B100" s="94">
        <f>D29*100</f>
        <v>500</v>
      </c>
      <c r="C100" s="4">
        <f t="shared" si="11"/>
        <v>293.49735999999996</v>
      </c>
      <c r="D100" s="4">
        <f t="shared" si="12"/>
        <v>272.24735999999996</v>
      </c>
      <c r="E100" s="4">
        <f t="shared" si="13"/>
        <v>250.99735999999996</v>
      </c>
      <c r="F100" s="4">
        <f t="shared" si="14"/>
        <v>229.74735999999996</v>
      </c>
      <c r="G100" s="4">
        <f t="shared" si="15"/>
        <v>208.49735999999996</v>
      </c>
      <c r="H100" s="4">
        <f t="shared" si="16"/>
        <v>187.24735999999996</v>
      </c>
      <c r="I100" s="4">
        <f t="shared" si="17"/>
        <v>165.99735999999996</v>
      </c>
    </row>
    <row r="101" spans="2:10">
      <c r="B101" s="95">
        <f>50+B100</f>
        <v>550</v>
      </c>
      <c r="C101" s="4">
        <f t="shared" si="11"/>
        <v>412.49735999999996</v>
      </c>
      <c r="D101" s="4">
        <f t="shared" si="12"/>
        <v>389.12235999999996</v>
      </c>
      <c r="E101" s="4">
        <f t="shared" si="13"/>
        <v>365.74735999999996</v>
      </c>
      <c r="F101" s="4">
        <f t="shared" si="14"/>
        <v>342.37235999999996</v>
      </c>
      <c r="G101" s="4">
        <f t="shared" si="15"/>
        <v>318.99735999999996</v>
      </c>
      <c r="H101" s="4">
        <f t="shared" si="16"/>
        <v>295.62235999999996</v>
      </c>
      <c r="I101" s="4">
        <f t="shared" si="17"/>
        <v>272.24735999999996</v>
      </c>
    </row>
    <row r="102" spans="2:10">
      <c r="B102" s="95">
        <f>50+B101</f>
        <v>600</v>
      </c>
      <c r="C102" s="4">
        <f t="shared" si="11"/>
        <v>531.49735999999996</v>
      </c>
      <c r="D102" s="4">
        <f t="shared" si="12"/>
        <v>505.99735999999996</v>
      </c>
      <c r="E102" s="4">
        <f t="shared" si="13"/>
        <v>480.49735999999996</v>
      </c>
      <c r="F102" s="4">
        <f t="shared" si="14"/>
        <v>454.99735999999996</v>
      </c>
      <c r="G102" s="4">
        <f t="shared" si="15"/>
        <v>429.49735999999996</v>
      </c>
      <c r="H102" s="4">
        <f t="shared" si="16"/>
        <v>403.99735999999996</v>
      </c>
      <c r="I102" s="4">
        <f t="shared" si="17"/>
        <v>378.49735999999996</v>
      </c>
    </row>
    <row r="104" spans="2:10" s="27" customFormat="1">
      <c r="B104" s="27" t="s">
        <v>163</v>
      </c>
      <c r="D104" s="91">
        <f>D94+0.05</f>
        <v>0.9</v>
      </c>
      <c r="E104" s="27" t="s">
        <v>164</v>
      </c>
      <c r="J104"/>
    </row>
    <row r="105" spans="2:10">
      <c r="C105" s="183" t="s">
        <v>161</v>
      </c>
      <c r="D105" s="183"/>
      <c r="E105" s="183"/>
      <c r="F105" s="183"/>
      <c r="G105" s="183"/>
      <c r="H105" s="183"/>
      <c r="I105" s="183"/>
    </row>
    <row r="106" spans="2:10">
      <c r="B106" s="92" t="s">
        <v>160</v>
      </c>
      <c r="C106" s="93">
        <f>D106+5</f>
        <v>280</v>
      </c>
      <c r="D106" s="93">
        <f>E106+5</f>
        <v>275</v>
      </c>
      <c r="E106" s="93">
        <f>F106+5</f>
        <v>270</v>
      </c>
      <c r="F106" s="93">
        <f>D30</f>
        <v>265</v>
      </c>
      <c r="G106" s="93">
        <f>F106-5</f>
        <v>260</v>
      </c>
      <c r="H106" s="93">
        <f>G106-5</f>
        <v>255</v>
      </c>
      <c r="I106" s="93">
        <f>H106-5</f>
        <v>250</v>
      </c>
    </row>
    <row r="107" spans="2:10">
      <c r="B107" s="94">
        <f>B108-50</f>
        <v>350</v>
      </c>
      <c r="C107" s="4">
        <f>(($C$106*$B107/100)*($D$104))-$I$77</f>
        <v>-14.502640000000042</v>
      </c>
      <c r="D107" s="4">
        <f t="shared" ref="D107:D112" si="18">(($D$106*$B107/100)*($D$104))-$I$77</f>
        <v>-30.252640000000042</v>
      </c>
      <c r="E107" s="4">
        <f t="shared" ref="E107:E112" si="19">(($E$106*$B107/100)*($D$104))-$I$77</f>
        <v>-46.002640000000042</v>
      </c>
      <c r="F107" s="4">
        <f t="shared" ref="F107:F112" si="20">(($F$106*$B107/100)*($D$104))-$I$77</f>
        <v>-61.752640000000042</v>
      </c>
      <c r="G107" s="4">
        <f t="shared" ref="G107:G112" si="21">(($G$106*$B107/100)*($D$104))-$I$77</f>
        <v>-77.502640000000042</v>
      </c>
      <c r="H107" s="4">
        <f t="shared" ref="H107:H112" si="22">(($H$106*$B107/100)*($D$104))-$I$77</f>
        <v>-93.252640000000042</v>
      </c>
      <c r="I107" s="4">
        <f t="shared" ref="I107:I112" si="23">(($I$106*$B107/100)*($D$104))-$I$77</f>
        <v>-109.00264000000004</v>
      </c>
    </row>
    <row r="108" spans="2:10">
      <c r="B108" s="94">
        <f>B109-50</f>
        <v>400</v>
      </c>
      <c r="C108" s="4">
        <f>(($C$106*$B108/100)*(D104))-$I$77</f>
        <v>111.49735999999996</v>
      </c>
      <c r="D108" s="4">
        <f t="shared" si="18"/>
        <v>93.497359999999958</v>
      </c>
      <c r="E108" s="4">
        <f t="shared" si="19"/>
        <v>75.497359999999958</v>
      </c>
      <c r="F108" s="4">
        <f t="shared" si="20"/>
        <v>57.497359999999958</v>
      </c>
      <c r="G108" s="4">
        <f t="shared" si="21"/>
        <v>39.497359999999958</v>
      </c>
      <c r="H108" s="4">
        <f t="shared" si="22"/>
        <v>21.497359999999958</v>
      </c>
      <c r="I108" s="4">
        <f t="shared" si="23"/>
        <v>3.4973599999999578</v>
      </c>
    </row>
    <row r="109" spans="2:10">
      <c r="B109" s="94">
        <f>B110-50</f>
        <v>450</v>
      </c>
      <c r="C109" s="4">
        <f>(($C$106*$B109/100)*(D104))-$I$77</f>
        <v>237.49735999999996</v>
      </c>
      <c r="D109" s="4">
        <f t="shared" si="18"/>
        <v>217.24735999999996</v>
      </c>
      <c r="E109" s="4">
        <f t="shared" si="19"/>
        <v>196.99735999999996</v>
      </c>
      <c r="F109" s="4">
        <f t="shared" si="20"/>
        <v>176.74735999999996</v>
      </c>
      <c r="G109" s="4">
        <f t="shared" si="21"/>
        <v>156.49735999999996</v>
      </c>
      <c r="H109" s="4">
        <f t="shared" si="22"/>
        <v>136.24735999999996</v>
      </c>
      <c r="I109" s="4">
        <f t="shared" si="23"/>
        <v>115.99735999999996</v>
      </c>
    </row>
    <row r="110" spans="2:10">
      <c r="B110" s="94">
        <f>D29*100</f>
        <v>500</v>
      </c>
      <c r="C110" s="4">
        <f>(($C$106*$B110/100)*(D104))-$I$77</f>
        <v>363.49735999999996</v>
      </c>
      <c r="D110" s="4">
        <f t="shared" si="18"/>
        <v>340.99735999999996</v>
      </c>
      <c r="E110" s="4">
        <f t="shared" si="19"/>
        <v>318.49735999999996</v>
      </c>
      <c r="F110" s="4">
        <f t="shared" si="20"/>
        <v>295.99735999999996</v>
      </c>
      <c r="G110" s="4">
        <f t="shared" si="21"/>
        <v>273.49735999999996</v>
      </c>
      <c r="H110" s="4">
        <f t="shared" si="22"/>
        <v>250.99735999999996</v>
      </c>
      <c r="I110" s="4">
        <f t="shared" si="23"/>
        <v>228.49735999999996</v>
      </c>
    </row>
    <row r="111" spans="2:10">
      <c r="B111" s="95">
        <f>50+B110</f>
        <v>550</v>
      </c>
      <c r="C111" s="4">
        <f>(($C$106*$B111/100)*(D104))-$I$77</f>
        <v>489.49735999999996</v>
      </c>
      <c r="D111" s="4">
        <f t="shared" si="18"/>
        <v>464.74735999999996</v>
      </c>
      <c r="E111" s="4">
        <f t="shared" si="19"/>
        <v>439.99735999999996</v>
      </c>
      <c r="F111" s="4">
        <f t="shared" si="20"/>
        <v>415.24735999999996</v>
      </c>
      <c r="G111" s="4">
        <f t="shared" si="21"/>
        <v>390.49735999999996</v>
      </c>
      <c r="H111" s="4">
        <f t="shared" si="22"/>
        <v>365.74735999999996</v>
      </c>
      <c r="I111" s="4">
        <f t="shared" si="23"/>
        <v>340.99735999999996</v>
      </c>
    </row>
    <row r="112" spans="2:10">
      <c r="B112" s="95">
        <f>50+B111</f>
        <v>600</v>
      </c>
      <c r="C112" s="4">
        <f>(($C$106*$B112/100)*(D104))-$I$77</f>
        <v>615.49735999999996</v>
      </c>
      <c r="D112" s="4">
        <f t="shared" si="18"/>
        <v>588.49735999999996</v>
      </c>
      <c r="E112" s="4">
        <f t="shared" si="19"/>
        <v>561.49735999999996</v>
      </c>
      <c r="F112" s="4">
        <f t="shared" si="20"/>
        <v>534.49735999999996</v>
      </c>
      <c r="G112" s="4">
        <f t="shared" si="21"/>
        <v>507.49735999999996</v>
      </c>
      <c r="H112" s="4">
        <f t="shared" si="22"/>
        <v>480.49735999999996</v>
      </c>
      <c r="I112" s="4">
        <f t="shared" si="23"/>
        <v>453.49735999999996</v>
      </c>
    </row>
  </sheetData>
  <sheetProtection algorithmName="SHA-512" hashValue="OxFqO81ppKpdEiQogpOCrS3d8IVFQNTiCI6SI7lSgM9FESzx11CMmW58lxdlHbUrTDEiQIYes597O+fTyYMNCA==" saltValue="8N6x0y0q0jCtnoqXBt8ZGQ==" spinCount="100000" sheet="1" objects="1" scenarios="1"/>
  <conditionalFormatting sqref="C87:I92">
    <cfRule type="colorScale" priority="6">
      <colorScale>
        <cfvo type="min"/>
        <cfvo type="num" val="$I$63"/>
        <cfvo type="max"/>
        <color rgb="FF63BE7B"/>
        <color rgb="FFFFEB84"/>
        <color rgb="FFF8696B"/>
      </colorScale>
    </cfRule>
  </conditionalFormatting>
  <conditionalFormatting sqref="C97:I10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">
      <colorScale>
        <cfvo type="num" val="10"/>
        <cfvo type="percentile" val="50"/>
        <cfvo type="max"/>
        <color rgb="FFF8696B"/>
        <color rgb="FFFFEB84"/>
        <color rgb="FF63BE7B"/>
      </colorScale>
    </cfRule>
  </conditionalFormatting>
  <conditionalFormatting sqref="C97:I103">
    <cfRule type="colorScale" priority="3">
      <colorScale>
        <cfvo type="num" val="0"/>
        <cfvo type="percentile" val="50"/>
        <cfvo type="max"/>
        <color rgb="FFF8696B"/>
        <color rgb="FFFFEB84"/>
        <color rgb="FF63BE7B"/>
      </colorScale>
    </cfRule>
  </conditionalFormatting>
  <conditionalFormatting sqref="C107:I112 E11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num" val="10"/>
        <cfvo type="percentile" val="50"/>
        <cfvo type="max"/>
        <color rgb="FFF8696B"/>
        <color rgb="FFFFEB84"/>
        <color rgb="FF63BE7B"/>
      </colorScale>
    </cfRule>
  </conditionalFormatting>
  <conditionalFormatting sqref="C107:I112">
    <cfRule type="colorScale" priority="1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5">
    <cfRule type="iconSet" priority="12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rowBreaks count="1" manualBreakCount="1">
    <brk id="82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D100"/>
  </sheetPr>
  <dimension ref="A2:L151"/>
  <sheetViews>
    <sheetView zoomScaleNormal="100" workbookViewId="0">
      <selection activeCell="C6" sqref="C6"/>
    </sheetView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6" width="11.33203125" style="4" customWidth="1"/>
    <col min="7" max="7" width="12.5" style="4" customWidth="1"/>
    <col min="8" max="8" width="11.33203125" style="4" customWidth="1"/>
    <col min="9" max="9" width="12.33203125" style="4" customWidth="1"/>
    <col min="10" max="11" width="10.6640625" style="4" customWidth="1"/>
    <col min="12" max="12" width="10.83203125" style="4" customWidth="1"/>
    <col min="13" max="16" width="10.6640625" style="4" customWidth="1"/>
    <col min="17" max="16384" width="17.1640625" style="4"/>
  </cols>
  <sheetData>
    <row r="2" spans="1:10" ht="19" customHeight="1">
      <c r="A2" s="192" t="s">
        <v>310</v>
      </c>
      <c r="B2" s="174"/>
      <c r="C2" s="174"/>
      <c r="D2" s="174"/>
      <c r="E2" s="174"/>
      <c r="F2" s="174"/>
    </row>
    <row r="3" spans="1:10" ht="21" customHeight="1">
      <c r="A3" s="192" t="s">
        <v>354</v>
      </c>
      <c r="B3" s="174"/>
      <c r="C3" s="174"/>
      <c r="D3" s="174"/>
      <c r="E3" s="174"/>
      <c r="F3" s="174"/>
    </row>
    <row r="4" spans="1:10" ht="16" customHeight="1">
      <c r="A4" s="173"/>
      <c r="B4" s="173"/>
      <c r="C4" s="173"/>
      <c r="D4" s="173"/>
      <c r="E4" s="173"/>
      <c r="F4" s="173"/>
    </row>
    <row r="5" spans="1:10" ht="16" customHeight="1">
      <c r="A5" s="173"/>
      <c r="B5" s="173"/>
      <c r="C5" s="173"/>
      <c r="D5" s="173"/>
      <c r="E5" s="173"/>
      <c r="F5" s="173"/>
    </row>
    <row r="6" spans="1:10" ht="16" customHeight="1">
      <c r="A6" s="173"/>
      <c r="B6" s="173"/>
      <c r="C6" s="173"/>
      <c r="D6" s="173"/>
      <c r="E6" s="173"/>
      <c r="F6" s="173"/>
    </row>
    <row r="7" spans="1:10">
      <c r="A7" s="178">
        <f>+'Step 1 - Feed Cost Input Sheet '!F23</f>
        <v>45229</v>
      </c>
      <c r="B7" s="178"/>
    </row>
    <row r="9" spans="1:10" ht="17" thickBot="1">
      <c r="A9" s="23" t="s">
        <v>282</v>
      </c>
    </row>
    <row r="10" spans="1:10" s="27" customFormat="1" ht="17" thickBot="1">
      <c r="A10" s="24" t="s">
        <v>283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100" t="s">
        <v>1</v>
      </c>
    </row>
    <row r="11" spans="1:10">
      <c r="A11" s="26" t="s">
        <v>3</v>
      </c>
      <c r="E11" s="28" t="s">
        <v>4</v>
      </c>
      <c r="F11" s="26" t="s">
        <v>9</v>
      </c>
    </row>
    <row r="12" spans="1:10">
      <c r="A12" s="23" t="s">
        <v>295</v>
      </c>
      <c r="D12" s="12">
        <v>8</v>
      </c>
      <c r="E12" s="28" t="s">
        <v>4</v>
      </c>
      <c r="F12" s="23" t="s">
        <v>300</v>
      </c>
      <c r="I12" s="12">
        <v>6</v>
      </c>
      <c r="J12" s="23" t="s">
        <v>5</v>
      </c>
    </row>
    <row r="13" spans="1:10">
      <c r="A13" s="23" t="s">
        <v>296</v>
      </c>
      <c r="D13" s="69">
        <v>230</v>
      </c>
      <c r="E13" s="28" t="s">
        <v>4</v>
      </c>
      <c r="F13" s="23" t="s">
        <v>301</v>
      </c>
      <c r="I13" s="69">
        <v>0</v>
      </c>
      <c r="J13" s="23" t="s">
        <v>6</v>
      </c>
    </row>
    <row r="14" spans="1:10">
      <c r="A14" s="23" t="s">
        <v>297</v>
      </c>
      <c r="D14" s="12">
        <v>1</v>
      </c>
      <c r="E14" s="28" t="s">
        <v>4</v>
      </c>
      <c r="F14" s="23" t="s">
        <v>303</v>
      </c>
      <c r="I14" s="69">
        <v>100</v>
      </c>
      <c r="J14" s="23" t="s">
        <v>7</v>
      </c>
    </row>
    <row r="15" spans="1:10">
      <c r="A15" s="26" t="s">
        <v>38</v>
      </c>
      <c r="D15" s="101"/>
      <c r="E15" s="28" t="s">
        <v>4</v>
      </c>
      <c r="F15" s="26" t="s">
        <v>41</v>
      </c>
      <c r="I15" s="101"/>
      <c r="J15" s="23" t="s">
        <v>8</v>
      </c>
    </row>
    <row r="16" spans="1:10">
      <c r="A16" s="23" t="s">
        <v>298</v>
      </c>
      <c r="D16" s="12">
        <v>5</v>
      </c>
      <c r="E16" s="28" t="s">
        <v>4</v>
      </c>
      <c r="F16" s="23" t="s">
        <v>302</v>
      </c>
      <c r="I16" s="126">
        <v>3.3</v>
      </c>
    </row>
    <row r="17" spans="1:10">
      <c r="A17" s="23" t="s">
        <v>299</v>
      </c>
      <c r="D17" s="69">
        <v>265</v>
      </c>
      <c r="E17" s="28" t="s">
        <v>4</v>
      </c>
      <c r="F17" s="4" t="s">
        <v>127</v>
      </c>
      <c r="I17" s="126">
        <v>0</v>
      </c>
    </row>
    <row r="18" spans="1:10" ht="17" thickBot="1">
      <c r="A18" s="26" t="s">
        <v>39</v>
      </c>
      <c r="D18" s="101"/>
      <c r="E18" s="28" t="s">
        <v>4</v>
      </c>
      <c r="F18" s="27" t="s">
        <v>134</v>
      </c>
    </row>
    <row r="19" spans="1:10" ht="18" thickTop="1" thickBot="1">
      <c r="A19" s="23" t="s">
        <v>285</v>
      </c>
      <c r="D19" s="69">
        <v>25</v>
      </c>
      <c r="E19" s="28" t="s">
        <v>4</v>
      </c>
      <c r="F19" s="4" t="s">
        <v>147</v>
      </c>
      <c r="I19" s="74">
        <v>0</v>
      </c>
    </row>
    <row r="20" spans="1:10" ht="17" thickTop="1">
      <c r="A20" s="23" t="s">
        <v>286</v>
      </c>
      <c r="D20" s="69">
        <v>10</v>
      </c>
      <c r="E20" s="28" t="s">
        <v>4</v>
      </c>
      <c r="F20" s="4" t="s">
        <v>135</v>
      </c>
      <c r="I20" s="75">
        <v>1</v>
      </c>
    </row>
    <row r="21" spans="1:10" ht="17" thickBot="1">
      <c r="A21" s="23" t="s">
        <v>287</v>
      </c>
      <c r="D21" s="69">
        <v>15.75</v>
      </c>
      <c r="E21" s="28" t="s">
        <v>4</v>
      </c>
      <c r="F21" s="4" t="s">
        <v>118</v>
      </c>
      <c r="I21" s="69">
        <v>4</v>
      </c>
    </row>
    <row r="22" spans="1:10" ht="18" thickTop="1" thickBot="1">
      <c r="A22" s="4" t="s">
        <v>40</v>
      </c>
      <c r="D22" s="69">
        <v>0</v>
      </c>
      <c r="E22" s="28" t="s">
        <v>4</v>
      </c>
      <c r="F22" s="4" t="s">
        <v>120</v>
      </c>
      <c r="I22" s="76">
        <v>1</v>
      </c>
      <c r="J22" s="102" t="s">
        <v>34</v>
      </c>
    </row>
    <row r="23" spans="1:10" ht="16.5" customHeight="1" thickTop="1">
      <c r="A23" s="4" t="s">
        <v>67</v>
      </c>
      <c r="D23" s="69">
        <v>0</v>
      </c>
      <c r="E23" s="28" t="s">
        <v>4</v>
      </c>
      <c r="F23" s="8" t="s">
        <v>122</v>
      </c>
      <c r="G23" s="8"/>
      <c r="H23" s="8"/>
      <c r="I23" s="77">
        <v>10</v>
      </c>
      <c r="J23" s="4" t="s">
        <v>35</v>
      </c>
    </row>
    <row r="24" spans="1:10" ht="15" customHeight="1">
      <c r="D24" s="103"/>
      <c r="E24" s="28" t="s">
        <v>4</v>
      </c>
      <c r="G24" s="5"/>
    </row>
    <row r="25" spans="1:10" ht="15" hidden="1" customHeight="1">
      <c r="A25" s="23"/>
      <c r="D25" s="32"/>
      <c r="E25" s="28" t="s">
        <v>4</v>
      </c>
      <c r="G25" s="5"/>
    </row>
    <row r="26" spans="1:10" ht="15" hidden="1" customHeight="1">
      <c r="D26" s="33"/>
      <c r="E26" s="28" t="s">
        <v>4</v>
      </c>
      <c r="G26" s="5"/>
    </row>
    <row r="27" spans="1:10" ht="15" hidden="1" customHeight="1">
      <c r="D27" s="103"/>
      <c r="G27" s="5"/>
    </row>
    <row r="28" spans="1:10" ht="15" hidden="1" customHeight="1">
      <c r="D28" s="103"/>
      <c r="G28" s="5"/>
    </row>
    <row r="29" spans="1:10" ht="15" hidden="1" customHeight="1">
      <c r="D29" s="103"/>
      <c r="G29" s="5"/>
    </row>
    <row r="30" spans="1:10" ht="15" hidden="1" customHeight="1">
      <c r="D30" s="103"/>
    </row>
    <row r="31" spans="1:10" ht="15" customHeight="1">
      <c r="D31" s="103"/>
    </row>
    <row r="32" spans="1:10" ht="15" customHeight="1">
      <c r="A32" s="27" t="s">
        <v>69</v>
      </c>
      <c r="D32" s="28"/>
      <c r="E32" s="23"/>
      <c r="H32" s="7"/>
    </row>
    <row r="33" spans="1:9" ht="52" customHeight="1">
      <c r="B33" s="8" t="s">
        <v>70</v>
      </c>
      <c r="C33" s="8"/>
      <c r="D33" s="8"/>
      <c r="E33" s="8"/>
      <c r="F33" s="6" t="s">
        <v>112</v>
      </c>
      <c r="G33" s="161" t="s">
        <v>113</v>
      </c>
      <c r="H33" s="186" t="s">
        <v>355</v>
      </c>
      <c r="I33" s="8" t="s">
        <v>76</v>
      </c>
    </row>
    <row r="34" spans="1:9" ht="15" customHeight="1">
      <c r="B34" s="27" t="str">
        <f>+'Step 1 - Feed Cost Input Sheet '!A24</f>
        <v>20% Liquid</v>
      </c>
      <c r="C34" s="82"/>
      <c r="D34" s="82"/>
      <c r="F34" s="12">
        <v>0.9</v>
      </c>
      <c r="G34" s="82">
        <f>+($I$16*30)/100*F34</f>
        <v>0.89100000000000001</v>
      </c>
      <c r="H34" s="35">
        <f>+'Step 1 - Feed Cost Input Sheet '!B24</f>
        <v>15</v>
      </c>
      <c r="I34" s="82" t="s">
        <v>71</v>
      </c>
    </row>
    <row r="35" spans="1:9" ht="15" customHeight="1">
      <c r="B35" s="27" t="str">
        <f>+'Step 1 - Feed Cost Input Sheet '!A25</f>
        <v>Mineral &amp; Salt</v>
      </c>
      <c r="C35" s="82"/>
      <c r="D35" s="82"/>
      <c r="F35" s="12">
        <v>0.3</v>
      </c>
      <c r="G35" s="82">
        <f>+($I$16*30)/100*F35</f>
        <v>0.29699999999999999</v>
      </c>
      <c r="H35" s="35">
        <f>+'Step 1 - Feed Cost Input Sheet '!B25</f>
        <v>22</v>
      </c>
      <c r="I35" s="82" t="s">
        <v>71</v>
      </c>
    </row>
    <row r="36" spans="1:9">
      <c r="B36" s="27" t="str">
        <f>+'Step 1 - Feed Cost Input Sheet '!A26</f>
        <v>Dry Corn</v>
      </c>
      <c r="C36" s="82"/>
      <c r="D36" s="82"/>
      <c r="F36" s="12">
        <v>5</v>
      </c>
      <c r="G36" s="82">
        <f>+($I$16*30)/56*F36</f>
        <v>8.8392857142857135</v>
      </c>
      <c r="H36" s="35">
        <f>+'Step 1 - Feed Cost Input Sheet '!B26</f>
        <v>4</v>
      </c>
      <c r="I36" s="82" t="s">
        <v>72</v>
      </c>
    </row>
    <row r="37" spans="1:9">
      <c r="B37" s="27" t="str">
        <f>+'Step 1 - Feed Cost Input Sheet '!A27</f>
        <v>High Moisture Corn</v>
      </c>
      <c r="C37" s="82"/>
      <c r="D37" s="82"/>
      <c r="F37" s="12">
        <v>0</v>
      </c>
      <c r="G37" s="82">
        <f>+($I$16*30)/56*F37</f>
        <v>0</v>
      </c>
      <c r="H37" s="35">
        <f>+'Step 1 - Feed Cost Input Sheet '!B27</f>
        <v>2.25</v>
      </c>
      <c r="I37" s="82" t="s">
        <v>72</v>
      </c>
    </row>
    <row r="38" spans="1:9">
      <c r="B38" s="27" t="str">
        <f>+'Step 1 - Feed Cost Input Sheet '!A28</f>
        <v>Hay</v>
      </c>
      <c r="C38" s="82"/>
      <c r="D38" s="82"/>
      <c r="F38" s="12">
        <v>3</v>
      </c>
      <c r="G38" s="82">
        <f>+($I$16*30)/2000*F38</f>
        <v>0.14850000000000002</v>
      </c>
      <c r="H38" s="35">
        <f>+'Step 1 - Feed Cost Input Sheet '!B28</f>
        <v>200</v>
      </c>
      <c r="I38" s="82" t="s">
        <v>73</v>
      </c>
    </row>
    <row r="39" spans="1:9">
      <c r="B39" s="27" t="str">
        <f>+'Step 1 - Feed Cost Input Sheet '!A29</f>
        <v>Alfalfa</v>
      </c>
      <c r="C39" s="82"/>
      <c r="D39" s="82"/>
      <c r="F39" s="12">
        <v>2.7</v>
      </c>
      <c r="G39" s="82">
        <f>+($I$16*30)/2000*F39</f>
        <v>0.13365000000000002</v>
      </c>
      <c r="H39" s="35">
        <f>+'Step 1 - Feed Cost Input Sheet '!B29</f>
        <v>250</v>
      </c>
      <c r="I39" s="82" t="s">
        <v>73</v>
      </c>
    </row>
    <row r="40" spans="1:9">
      <c r="B40" s="27" t="str">
        <f>+'Step 1 - Feed Cost Input Sheet '!A30</f>
        <v>Silage</v>
      </c>
      <c r="C40" s="82"/>
      <c r="D40" s="82"/>
      <c r="F40" s="12">
        <v>11</v>
      </c>
      <c r="G40" s="82">
        <f>+($I$16*30)/2000*F40</f>
        <v>0.54449999999999998</v>
      </c>
      <c r="H40" s="35">
        <f>+'Step 1 - Feed Cost Input Sheet '!B30</f>
        <v>40</v>
      </c>
      <c r="I40" s="82" t="s">
        <v>73</v>
      </c>
    </row>
    <row r="41" spans="1:9">
      <c r="B41" s="27" t="str">
        <f>+'Step 1 - Feed Cost Input Sheet '!A31</f>
        <v>Corn Stover</v>
      </c>
      <c r="C41" s="82"/>
      <c r="D41" s="82"/>
      <c r="F41" s="12">
        <v>0</v>
      </c>
      <c r="G41" s="82">
        <f>+($I$16*30)/2000*F41</f>
        <v>0</v>
      </c>
      <c r="H41" s="35">
        <f>+'Step 1 - Feed Cost Input Sheet '!B31</f>
        <v>90</v>
      </c>
      <c r="I41" s="82" t="s">
        <v>73</v>
      </c>
    </row>
    <row r="42" spans="1:9">
      <c r="B42" s="27" t="str">
        <f>+'Step 1 - Feed Cost Input Sheet '!A32</f>
        <v>Dried Distillers</v>
      </c>
      <c r="C42" s="82"/>
      <c r="D42" s="82"/>
      <c r="F42" s="12">
        <v>2.7</v>
      </c>
      <c r="G42" s="82">
        <f>+($I$16*30)/2000*F42</f>
        <v>0.13365000000000002</v>
      </c>
      <c r="H42" s="35">
        <f>+'Step 1 - Feed Cost Input Sheet '!B32</f>
        <v>125</v>
      </c>
      <c r="I42" s="82" t="s">
        <v>73</v>
      </c>
    </row>
    <row r="43" spans="1:9">
      <c r="B43" s="27" t="str">
        <f>+'Step 1 - Feed Cost Input Sheet '!A33</f>
        <v>Pasture</v>
      </c>
      <c r="C43" s="82"/>
      <c r="D43" s="82"/>
      <c r="F43" s="104"/>
      <c r="G43" s="82">
        <f>+I17</f>
        <v>0</v>
      </c>
      <c r="H43" s="35">
        <f>+'Step 1 - Feed Cost Input Sheet '!B33</f>
        <v>55</v>
      </c>
      <c r="I43" s="82" t="s">
        <v>101</v>
      </c>
    </row>
    <row r="44" spans="1:9">
      <c r="B44" s="27"/>
      <c r="C44" s="82"/>
      <c r="D44" s="82"/>
      <c r="F44" s="9"/>
      <c r="G44" s="82"/>
      <c r="H44" s="35"/>
      <c r="I44" s="82"/>
    </row>
    <row r="45" spans="1:9" ht="21" customHeight="1">
      <c r="B45" s="174"/>
      <c r="C45" s="174"/>
      <c r="D45" s="174"/>
      <c r="E45" s="174"/>
      <c r="F45" s="174"/>
      <c r="G45" s="82"/>
      <c r="H45" s="35"/>
      <c r="I45" s="82"/>
    </row>
    <row r="46" spans="1:9" ht="22" customHeight="1">
      <c r="B46" s="174"/>
      <c r="C46" s="174"/>
      <c r="D46" s="174"/>
      <c r="E46" s="174"/>
      <c r="F46" s="174"/>
      <c r="G46" s="82"/>
      <c r="H46" s="35"/>
      <c r="I46" s="82"/>
    </row>
    <row r="47" spans="1:9" ht="19" customHeight="1">
      <c r="A47" s="192" t="s">
        <v>326</v>
      </c>
      <c r="B47" s="174"/>
      <c r="C47" s="174"/>
      <c r="D47" s="174"/>
      <c r="E47" s="174"/>
      <c r="F47" s="174"/>
      <c r="G47" s="82"/>
      <c r="H47" s="35"/>
      <c r="I47" s="82"/>
    </row>
    <row r="48" spans="1:9" ht="20" customHeight="1">
      <c r="A48" s="192" t="s">
        <v>354</v>
      </c>
      <c r="B48" s="174"/>
      <c r="C48" s="174"/>
      <c r="D48" s="174"/>
      <c r="E48" s="174"/>
      <c r="F48" s="174"/>
      <c r="G48" s="82"/>
      <c r="H48" s="35"/>
      <c r="I48" s="82"/>
    </row>
    <row r="49" spans="1:12" ht="16" customHeight="1">
      <c r="A49" s="173"/>
      <c r="B49" s="173"/>
      <c r="C49" s="173"/>
      <c r="D49" s="173"/>
      <c r="E49" s="173"/>
      <c r="F49" s="173"/>
      <c r="G49" s="82"/>
      <c r="H49" s="35"/>
      <c r="I49" s="82"/>
    </row>
    <row r="50" spans="1:12">
      <c r="A50" s="178">
        <f>+'Step 1 - Feed Cost Input Sheet '!F23</f>
        <v>45229</v>
      </c>
      <c r="B50" s="178"/>
      <c r="C50" s="82"/>
      <c r="D50" s="82"/>
      <c r="F50" s="9"/>
      <c r="G50" s="82"/>
      <c r="H50" s="35"/>
      <c r="I50" s="82"/>
    </row>
    <row r="51" spans="1:12">
      <c r="A51" s="23" t="s">
        <v>10</v>
      </c>
    </row>
    <row r="52" spans="1:12">
      <c r="A52" s="7" t="s">
        <v>37</v>
      </c>
      <c r="B52" s="98">
        <f>(D12-D16)*100</f>
        <v>300</v>
      </c>
      <c r="C52" s="23" t="s">
        <v>176</v>
      </c>
      <c r="D52" s="99">
        <f>I16+I17</f>
        <v>3.3</v>
      </c>
      <c r="E52" s="23" t="s">
        <v>177</v>
      </c>
      <c r="F52" s="4">
        <f>+B52/(D52*30)</f>
        <v>3.0303030303030303</v>
      </c>
      <c r="G52" s="4" t="s">
        <v>178</v>
      </c>
    </row>
    <row r="53" spans="1:12">
      <c r="A53" s="26" t="s">
        <v>11</v>
      </c>
    </row>
    <row r="54" spans="1:12">
      <c r="B54" s="23" t="s">
        <v>42</v>
      </c>
      <c r="E54" s="4">
        <f>D12</f>
        <v>8</v>
      </c>
      <c r="F54" s="11" t="s">
        <v>43</v>
      </c>
      <c r="G54" s="105">
        <f>D13</f>
        <v>230</v>
      </c>
      <c r="I54" s="105">
        <f>E54*G54</f>
        <v>1840</v>
      </c>
    </row>
    <row r="55" spans="1:12" ht="17" thickBot="1">
      <c r="B55" s="23" t="s">
        <v>44</v>
      </c>
      <c r="D55" s="7" t="s">
        <v>29</v>
      </c>
      <c r="E55" s="4">
        <f>D14</f>
        <v>1</v>
      </c>
      <c r="F55" s="23" t="s">
        <v>45</v>
      </c>
      <c r="G55" s="97">
        <f>I54</f>
        <v>1840</v>
      </c>
      <c r="H55" s="106" t="s">
        <v>27</v>
      </c>
      <c r="I55" s="107">
        <f>-E55*G55/100</f>
        <v>-18.399999999999999</v>
      </c>
    </row>
    <row r="56" spans="1:12" ht="17" thickBot="1">
      <c r="D56" s="23" t="s">
        <v>12</v>
      </c>
      <c r="I56" s="108">
        <f>SUM(I54:I55)</f>
        <v>1821.6</v>
      </c>
    </row>
    <row r="58" spans="1:12">
      <c r="A58" s="26" t="s">
        <v>13</v>
      </c>
    </row>
    <row r="59" spans="1:12">
      <c r="B59" s="23" t="s">
        <v>46</v>
      </c>
      <c r="E59" s="4">
        <f>D16</f>
        <v>5</v>
      </c>
      <c r="F59" s="11" t="s">
        <v>47</v>
      </c>
      <c r="G59" s="45">
        <f>+D17</f>
        <v>265</v>
      </c>
      <c r="I59" s="107">
        <f>E59*G59</f>
        <v>1325</v>
      </c>
    </row>
    <row r="60" spans="1:12">
      <c r="B60" s="23" t="s">
        <v>68</v>
      </c>
      <c r="I60" s="109">
        <f>SUM(H61:H70)</f>
        <v>143.48989285714288</v>
      </c>
      <c r="L60" s="46"/>
    </row>
    <row r="61" spans="1:12">
      <c r="B61" s="23" t="str">
        <f t="shared" ref="B61:B70" si="0">+B34</f>
        <v>20% Liquid</v>
      </c>
      <c r="D61" s="23" t="s">
        <v>14</v>
      </c>
      <c r="E61" s="4">
        <f t="shared" ref="E61:E70" si="1">+G34</f>
        <v>0.89100000000000001</v>
      </c>
      <c r="F61" s="11" t="s">
        <v>15</v>
      </c>
      <c r="G61" s="110">
        <f t="shared" ref="G61:G70" si="2">+H34</f>
        <v>15</v>
      </c>
      <c r="H61" s="110">
        <f>E61*G61*D25</f>
        <v>0</v>
      </c>
      <c r="L61" s="85"/>
    </row>
    <row r="62" spans="1:12">
      <c r="B62" s="23" t="str">
        <f t="shared" si="0"/>
        <v>Mineral &amp; Salt</v>
      </c>
      <c r="E62" s="4">
        <f t="shared" si="1"/>
        <v>0.29699999999999999</v>
      </c>
      <c r="F62" s="11" t="s">
        <v>15</v>
      </c>
      <c r="G62" s="110">
        <f t="shared" si="2"/>
        <v>22</v>
      </c>
      <c r="H62" s="110">
        <f>E62*G62+D25</f>
        <v>6.5339999999999998</v>
      </c>
      <c r="L62" s="46"/>
    </row>
    <row r="63" spans="1:12">
      <c r="B63" s="23" t="str">
        <f t="shared" si="0"/>
        <v>Dry Corn</v>
      </c>
      <c r="E63" s="4">
        <f t="shared" si="1"/>
        <v>8.8392857142857135</v>
      </c>
      <c r="F63" s="11" t="s">
        <v>49</v>
      </c>
      <c r="G63" s="110">
        <f t="shared" si="2"/>
        <v>4</v>
      </c>
      <c r="H63" s="110">
        <f>E63*G63+D25</f>
        <v>35.357142857142854</v>
      </c>
    </row>
    <row r="64" spans="1:12">
      <c r="B64" s="23" t="str">
        <f t="shared" si="0"/>
        <v>High Moisture Corn</v>
      </c>
      <c r="E64" s="4">
        <f t="shared" si="1"/>
        <v>0</v>
      </c>
      <c r="F64" s="11" t="s">
        <v>49</v>
      </c>
      <c r="G64" s="110">
        <f t="shared" si="2"/>
        <v>2.25</v>
      </c>
      <c r="H64" s="110">
        <f t="shared" ref="H64:H70" si="3">E64*G64</f>
        <v>0</v>
      </c>
    </row>
    <row r="65" spans="1:9">
      <c r="B65" s="23" t="str">
        <f t="shared" si="0"/>
        <v>Hay</v>
      </c>
      <c r="E65" s="4">
        <f t="shared" si="1"/>
        <v>0.14850000000000002</v>
      </c>
      <c r="F65" s="11" t="s">
        <v>50</v>
      </c>
      <c r="G65" s="110">
        <f t="shared" si="2"/>
        <v>200</v>
      </c>
      <c r="H65" s="110">
        <f t="shared" si="3"/>
        <v>29.700000000000003</v>
      </c>
    </row>
    <row r="66" spans="1:9">
      <c r="B66" s="23" t="str">
        <f t="shared" si="0"/>
        <v>Alfalfa</v>
      </c>
      <c r="E66" s="4">
        <f t="shared" si="1"/>
        <v>0.13365000000000002</v>
      </c>
      <c r="F66" s="11" t="s">
        <v>50</v>
      </c>
      <c r="G66" s="110">
        <f t="shared" si="2"/>
        <v>250</v>
      </c>
      <c r="H66" s="110">
        <f t="shared" si="3"/>
        <v>33.412500000000001</v>
      </c>
    </row>
    <row r="67" spans="1:9">
      <c r="B67" s="23" t="str">
        <f t="shared" si="0"/>
        <v>Silage</v>
      </c>
      <c r="E67" s="4">
        <f t="shared" si="1"/>
        <v>0.54449999999999998</v>
      </c>
      <c r="F67" s="11" t="s">
        <v>50</v>
      </c>
      <c r="G67" s="110">
        <f t="shared" si="2"/>
        <v>40</v>
      </c>
      <c r="H67" s="110">
        <f t="shared" si="3"/>
        <v>21.78</v>
      </c>
    </row>
    <row r="68" spans="1:9">
      <c r="B68" s="23" t="str">
        <f t="shared" si="0"/>
        <v>Corn Stover</v>
      </c>
      <c r="E68" s="4">
        <f t="shared" si="1"/>
        <v>0</v>
      </c>
      <c r="F68" s="11" t="s">
        <v>50</v>
      </c>
      <c r="G68" s="110">
        <f t="shared" si="2"/>
        <v>90</v>
      </c>
      <c r="H68" s="110">
        <f t="shared" si="3"/>
        <v>0</v>
      </c>
    </row>
    <row r="69" spans="1:9">
      <c r="B69" s="23" t="str">
        <f t="shared" si="0"/>
        <v>Dried Distillers</v>
      </c>
      <c r="E69" s="4">
        <f t="shared" si="1"/>
        <v>0.13365000000000002</v>
      </c>
      <c r="F69" s="11" t="s">
        <v>50</v>
      </c>
      <c r="G69" s="110">
        <f t="shared" si="2"/>
        <v>125</v>
      </c>
      <c r="H69" s="109">
        <f t="shared" si="3"/>
        <v>16.706250000000001</v>
      </c>
    </row>
    <row r="70" spans="1:9">
      <c r="B70" s="23" t="str">
        <f t="shared" si="0"/>
        <v>Pasture</v>
      </c>
      <c r="E70" s="4">
        <f t="shared" si="1"/>
        <v>0</v>
      </c>
      <c r="F70" s="11" t="s">
        <v>172</v>
      </c>
      <c r="G70" s="110">
        <f t="shared" si="2"/>
        <v>55</v>
      </c>
      <c r="H70" s="109">
        <f t="shared" si="3"/>
        <v>0</v>
      </c>
    </row>
    <row r="71" spans="1:9">
      <c r="B71" s="23" t="s">
        <v>16</v>
      </c>
      <c r="I71" s="105">
        <f>D19</f>
        <v>25</v>
      </c>
    </row>
    <row r="72" spans="1:9">
      <c r="B72" s="23" t="s">
        <v>17</v>
      </c>
      <c r="I72" s="105">
        <f>D20</f>
        <v>10</v>
      </c>
    </row>
    <row r="73" spans="1:9">
      <c r="B73" s="23" t="s">
        <v>18</v>
      </c>
      <c r="I73" s="105">
        <f>D21</f>
        <v>15.75</v>
      </c>
    </row>
    <row r="74" spans="1:9">
      <c r="B74" s="23" t="s">
        <v>48</v>
      </c>
      <c r="I74" s="105">
        <f>+D22</f>
        <v>0</v>
      </c>
    </row>
    <row r="75" spans="1:9">
      <c r="B75" s="23" t="s">
        <v>36</v>
      </c>
      <c r="I75" s="46">
        <f>IF(I19=0,(I20/I22*I21/I23),(I19*I20/I23))</f>
        <v>0.4</v>
      </c>
    </row>
    <row r="76" spans="1:9" ht="17" thickBot="1">
      <c r="B76" s="23" t="s">
        <v>173</v>
      </c>
      <c r="I76" s="107">
        <f>+D23</f>
        <v>0</v>
      </c>
    </row>
    <row r="77" spans="1:9" ht="17" thickBot="1">
      <c r="B77" s="23" t="s">
        <v>14</v>
      </c>
      <c r="D77" s="23" t="s">
        <v>19</v>
      </c>
      <c r="I77" s="108">
        <f>SUM(I59:I76)</f>
        <v>1519.639892857143</v>
      </c>
    </row>
    <row r="78" spans="1:9" ht="17" thickBot="1">
      <c r="I78" s="46"/>
    </row>
    <row r="79" spans="1:9" ht="18" thickTop="1" thickBot="1">
      <c r="A79" s="26" t="s">
        <v>20</v>
      </c>
      <c r="I79" s="111">
        <f>I56-I77</f>
        <v>301.96010714285694</v>
      </c>
    </row>
    <row r="80" spans="1:9" ht="17" thickTop="1"/>
    <row r="81" spans="1:9">
      <c r="A81" s="26" t="s">
        <v>21</v>
      </c>
    </row>
    <row r="82" spans="1:9">
      <c r="B82" s="23" t="s">
        <v>22</v>
      </c>
      <c r="G82" s="112">
        <f>I12/100</f>
        <v>0.06</v>
      </c>
    </row>
    <row r="83" spans="1:9">
      <c r="B83" s="23" t="s">
        <v>23</v>
      </c>
      <c r="I83" s="105">
        <f>((I77*I12)*(($I$16+I17)/12))/100</f>
        <v>25.074058232142853</v>
      </c>
    </row>
    <row r="84" spans="1:9">
      <c r="B84" s="23" t="s">
        <v>24</v>
      </c>
      <c r="I84" s="105">
        <f>I13</f>
        <v>0</v>
      </c>
    </row>
    <row r="85" spans="1:9" ht="17" thickBot="1">
      <c r="B85" s="23" t="s">
        <v>269</v>
      </c>
      <c r="I85" s="107">
        <f>(I77+I14)*0.025</f>
        <v>40.49099732142858</v>
      </c>
    </row>
    <row r="86" spans="1:9" ht="17" thickBot="1">
      <c r="D86" s="4" t="s">
        <v>270</v>
      </c>
      <c r="I86" s="113">
        <f>+SUM(I83:I85)</f>
        <v>65.565055553571426</v>
      </c>
    </row>
    <row r="87" spans="1:9" ht="17" thickBot="1">
      <c r="D87" s="23" t="s">
        <v>25</v>
      </c>
      <c r="I87" s="114">
        <f>I79-SUM(I83:I85)</f>
        <v>236.39505158928552</v>
      </c>
    </row>
    <row r="88" spans="1:9" ht="17" thickTop="1">
      <c r="I88" s="46"/>
    </row>
    <row r="89" spans="1:9">
      <c r="B89" s="23" t="s">
        <v>51</v>
      </c>
      <c r="H89" s="105">
        <f>(I77+SUM(I83:I85)+I55)/E54</f>
        <v>195.85061855133929</v>
      </c>
      <c r="I89" s="102" t="s">
        <v>103</v>
      </c>
    </row>
    <row r="90" spans="1:9">
      <c r="D90" s="7"/>
      <c r="E90" s="7" t="s">
        <v>52</v>
      </c>
      <c r="F90" s="45">
        <f>D17</f>
        <v>265</v>
      </c>
      <c r="G90" s="23" t="s">
        <v>53</v>
      </c>
    </row>
    <row r="91" spans="1:9">
      <c r="F91" s="7" t="s">
        <v>54</v>
      </c>
      <c r="G91" s="11">
        <f>(SUM(I60:I76)+I86)/(E54-E59)</f>
        <v>86.734982803571441</v>
      </c>
      <c r="H91" s="23" t="s">
        <v>55</v>
      </c>
      <c r="I91" s="46"/>
    </row>
    <row r="92" spans="1:9">
      <c r="B92" s="23" t="s">
        <v>56</v>
      </c>
      <c r="H92" s="105">
        <f>(I56-(SUM(I60:I76)+SUM(I83:I85)))/E59</f>
        <v>312.27901031785711</v>
      </c>
      <c r="I92" s="102" t="s">
        <v>103</v>
      </c>
    </row>
    <row r="93" spans="1:9">
      <c r="E93" s="7" t="s">
        <v>57</v>
      </c>
      <c r="F93" s="115">
        <f>D13</f>
        <v>230</v>
      </c>
      <c r="G93" s="23" t="s">
        <v>53</v>
      </c>
    </row>
    <row r="94" spans="1:9">
      <c r="A94" s="27"/>
      <c r="E94" s="98"/>
      <c r="F94" s="26"/>
    </row>
    <row r="95" spans="1:9">
      <c r="B95" s="26" t="s">
        <v>58</v>
      </c>
    </row>
    <row r="96" spans="1:9">
      <c r="B96" s="7"/>
    </row>
    <row r="97" spans="1:9">
      <c r="C97" s="165" t="s">
        <v>90</v>
      </c>
      <c r="D97" s="183" t="s">
        <v>32</v>
      </c>
      <c r="E97" s="183"/>
      <c r="F97" s="183"/>
      <c r="G97" s="183"/>
      <c r="H97" s="183"/>
      <c r="I97" s="183"/>
    </row>
    <row r="98" spans="1:9">
      <c r="C98" s="164" t="s">
        <v>91</v>
      </c>
      <c r="D98" s="116">
        <f>G54-8</f>
        <v>222</v>
      </c>
      <c r="E98" s="117">
        <f>G54-4</f>
        <v>226</v>
      </c>
      <c r="F98" s="117">
        <f>G54</f>
        <v>230</v>
      </c>
      <c r="G98" s="117">
        <f>G54+4</f>
        <v>234</v>
      </c>
      <c r="H98" s="117">
        <f>G54+8</f>
        <v>238</v>
      </c>
      <c r="I98" s="117">
        <f>H98+4</f>
        <v>242</v>
      </c>
    </row>
    <row r="99" spans="1:9">
      <c r="C99" s="187">
        <f>G59-10</f>
        <v>255</v>
      </c>
      <c r="D99" s="106">
        <f t="shared" ref="D99:I99" si="4">(($E$54*D98)-($E$55/100*$E$54*D98))-(($E$59*$C$99)+SUM($I$60:$I$76)+SUM($I$83:$I$85))</f>
        <v>223.03505158928556</v>
      </c>
      <c r="E99" s="106">
        <f t="shared" si="4"/>
        <v>254.71505158928562</v>
      </c>
      <c r="F99" s="106">
        <f t="shared" si="4"/>
        <v>286.39505158928546</v>
      </c>
      <c r="G99" s="106">
        <f t="shared" si="4"/>
        <v>318.07505158928552</v>
      </c>
      <c r="H99" s="106">
        <f t="shared" si="4"/>
        <v>349.75505158928559</v>
      </c>
      <c r="I99" s="106">
        <f t="shared" si="4"/>
        <v>381.43505158928565</v>
      </c>
    </row>
    <row r="100" spans="1:9">
      <c r="C100" s="45">
        <f>G59-5</f>
        <v>260</v>
      </c>
      <c r="D100" s="106">
        <f t="shared" ref="D100:I100" si="5">(($E$54*D98)-($E$55/100*$E$54*D98))-(($E$59*$C$100)+SUM($I$60:$I$76)+SUM($I$83:$I$85))</f>
        <v>198.03505158928556</v>
      </c>
      <c r="E100" s="106">
        <f t="shared" si="5"/>
        <v>229.71505158928562</v>
      </c>
      <c r="F100" s="106">
        <f t="shared" si="5"/>
        <v>261.39505158928546</v>
      </c>
      <c r="G100" s="106">
        <f t="shared" si="5"/>
        <v>293.07505158928552</v>
      </c>
      <c r="H100" s="106">
        <f t="shared" si="5"/>
        <v>324.75505158928559</v>
      </c>
      <c r="I100" s="106">
        <f t="shared" si="5"/>
        <v>356.43505158928565</v>
      </c>
    </row>
    <row r="101" spans="1:9">
      <c r="C101" s="45">
        <f>G59</f>
        <v>265</v>
      </c>
      <c r="D101" s="106">
        <f t="shared" ref="D101:I101" si="6">(($E$54*D98)-($E$55/100*$E$54*D98))-(($E$59*$C$101)+SUM($I$60:$I$76)+SUM($I$83:$I$85))</f>
        <v>173.03505158928556</v>
      </c>
      <c r="E101" s="106">
        <f t="shared" si="6"/>
        <v>204.71505158928562</v>
      </c>
      <c r="F101" s="106">
        <f t="shared" si="6"/>
        <v>236.39505158928546</v>
      </c>
      <c r="G101" s="106">
        <f t="shared" si="6"/>
        <v>268.07505158928552</v>
      </c>
      <c r="H101" s="106">
        <f t="shared" si="6"/>
        <v>299.75505158928559</v>
      </c>
      <c r="I101" s="106">
        <f t="shared" si="6"/>
        <v>331.43505158928565</v>
      </c>
    </row>
    <row r="102" spans="1:9">
      <c r="C102" s="45">
        <f>G59+5</f>
        <v>270</v>
      </c>
      <c r="D102" s="106">
        <f t="shared" ref="D102:I102" si="7">(($E$54*D98)-($E$55/100*$E$54*D98))-(($E$59*$C$102)+SUM($I$60:$I$76)+SUM($I$83:$I$85))</f>
        <v>148.03505158928556</v>
      </c>
      <c r="E102" s="106">
        <f t="shared" si="7"/>
        <v>179.71505158928562</v>
      </c>
      <c r="F102" s="106">
        <f t="shared" si="7"/>
        <v>211.39505158928546</v>
      </c>
      <c r="G102" s="106">
        <f t="shared" si="7"/>
        <v>243.07505158928552</v>
      </c>
      <c r="H102" s="106">
        <f t="shared" si="7"/>
        <v>274.75505158928559</v>
      </c>
      <c r="I102" s="106">
        <f t="shared" si="7"/>
        <v>306.43505158928565</v>
      </c>
    </row>
    <row r="103" spans="1:9">
      <c r="C103" s="45">
        <f>G59+10</f>
        <v>275</v>
      </c>
      <c r="D103" s="106">
        <f t="shared" ref="D103:I103" si="8">(($E$54*D98)-($E$55/100*$E$54*D98))-(($E$59*$C$103)+SUM($I$60:$I$76)+SUM($I$83:$I$85))</f>
        <v>123.03505158928556</v>
      </c>
      <c r="E103" s="106">
        <f t="shared" si="8"/>
        <v>154.71505158928562</v>
      </c>
      <c r="F103" s="106">
        <f t="shared" si="8"/>
        <v>186.39505158928546</v>
      </c>
      <c r="G103" s="106">
        <f t="shared" si="8"/>
        <v>218.07505158928552</v>
      </c>
      <c r="H103" s="106">
        <f t="shared" si="8"/>
        <v>249.75505158928559</v>
      </c>
      <c r="I103" s="106">
        <f t="shared" si="8"/>
        <v>281.43505158928565</v>
      </c>
    </row>
    <row r="104" spans="1:9">
      <c r="I104" s="23"/>
    </row>
    <row r="105" spans="1:9">
      <c r="I105" s="23"/>
    </row>
    <row r="106" spans="1:9">
      <c r="B106" s="118" t="s">
        <v>58</v>
      </c>
      <c r="C106" s="45"/>
      <c r="D106" s="45"/>
      <c r="E106" s="45"/>
      <c r="F106" s="45"/>
      <c r="G106" s="45"/>
      <c r="I106" s="23"/>
    </row>
    <row r="107" spans="1:9">
      <c r="B107" s="106" t="s">
        <v>59</v>
      </c>
      <c r="E107" s="119">
        <f>G59</f>
        <v>265</v>
      </c>
      <c r="F107" s="106" t="s">
        <v>356</v>
      </c>
      <c r="H107" s="45"/>
      <c r="I107" s="106"/>
    </row>
    <row r="108" spans="1:9">
      <c r="B108" s="115"/>
      <c r="C108" s="120" t="s">
        <v>89</v>
      </c>
      <c r="D108" s="45"/>
      <c r="E108" s="45"/>
      <c r="F108" s="45"/>
      <c r="G108" s="45"/>
      <c r="H108" s="45"/>
      <c r="I108" s="106"/>
    </row>
    <row r="109" spans="1:9">
      <c r="A109" s="8"/>
      <c r="B109" s="8"/>
      <c r="C109" s="121" t="s">
        <v>92</v>
      </c>
      <c r="D109" s="117">
        <f>G54-8</f>
        <v>222</v>
      </c>
      <c r="E109" s="117">
        <f>G54-4</f>
        <v>226</v>
      </c>
      <c r="F109" s="117">
        <f>G54</f>
        <v>230</v>
      </c>
      <c r="G109" s="117">
        <f>G54+4</f>
        <v>234</v>
      </c>
      <c r="H109" s="117">
        <f>G54+8</f>
        <v>238</v>
      </c>
      <c r="I109" s="117">
        <f>G54+12</f>
        <v>242</v>
      </c>
    </row>
    <row r="110" spans="1:9">
      <c r="C110" s="122">
        <f>G91/100-0.1</f>
        <v>0.76734982803571439</v>
      </c>
      <c r="D110" s="106">
        <f>((E54*(G54-8))-(E55/100*E54*(G54-8)))-(I59+((G91-10)*(E54-E59)))</f>
        <v>203.03505158928579</v>
      </c>
      <c r="E110" s="106">
        <f>((E54*(G54-4))-(E55/100*E54*(G54-4)))-(I59+((G91-10)*(E54-E59)))</f>
        <v>234.71505158928585</v>
      </c>
      <c r="F110" s="106">
        <f>((E54*(G54))-(E55/100*E54*(G54)))-(I59+((G91-10)*(E54-E59)))</f>
        <v>266.39505158928569</v>
      </c>
      <c r="G110" s="106">
        <f>((E54*(G54+4))-(E55/100*E54*(G54+4)))-(I59+((G91-10)*(E54-E59)))</f>
        <v>298.07505158928575</v>
      </c>
      <c r="H110" s="106">
        <f>((E54*(G54+8))-(E55/100*E54*(G54+8)))-(I59+((G91-10)*(E54-E59)))</f>
        <v>329.75505158928581</v>
      </c>
      <c r="I110" s="106">
        <f>((E54*(G54+12))-(E55/100*E54*(G54+12)))-(I59+((G91-10)*(E54-E59)))</f>
        <v>361.43505158928588</v>
      </c>
    </row>
    <row r="111" spans="1:9">
      <c r="C111" s="122">
        <f>G91/100-0.05</f>
        <v>0.81734982803571432</v>
      </c>
      <c r="D111" s="106">
        <f>((E54*(G54-8))-(E55/100*E54*(G54-8)))-(I59+((G91-5)*(E54-E59)))</f>
        <v>188.03505158928579</v>
      </c>
      <c r="E111" s="106">
        <f>((E54*(G54-4))-(E55/100*E54*(G54-4)))-(I59+((G91-5)*(E54-E59)))</f>
        <v>219.71505158928585</v>
      </c>
      <c r="F111" s="106">
        <f>((E54*(G54))-(E55/100*E54*(G54)))-(I59+((G91-5)*(E54-E59)))</f>
        <v>251.39505158928569</v>
      </c>
      <c r="G111" s="106">
        <f>((E54*(G54+4))-(E55/100*E54*(G54+4)))-(I59+((G91-5)*(E54-E59)))</f>
        <v>283.07505158928575</v>
      </c>
      <c r="H111" s="106">
        <f>((E54*(G54+8))-(E55/100*E54*(G54+8)))-(I59+((G91-5)*(E54-E59)))</f>
        <v>314.75505158928581</v>
      </c>
      <c r="I111" s="106">
        <f>((E54*(G54+12))-(E55/100*E54*(G54+12)))-(I59+((G91-5)*(E54-E59)))</f>
        <v>346.43505158928588</v>
      </c>
    </row>
    <row r="112" spans="1:9">
      <c r="C112" s="122">
        <f>G91/100</f>
        <v>0.86734982803571437</v>
      </c>
      <c r="D112" s="106">
        <f>((E54*(G54-8))-(E55/100*E54*(G54-8)))-(I59+(G91*(E54-E59)))</f>
        <v>173.03505158928579</v>
      </c>
      <c r="E112" s="106">
        <f>((E54*(G54-4))-(E55/100*E54*(G54-4)))-(I59+(G91*(E54-E59)))</f>
        <v>204.71505158928585</v>
      </c>
      <c r="F112" s="106">
        <f>((E54*G54)-(E55/100*E54*G54))-(I59+(G91*(E54-E59)))</f>
        <v>236.39505158928569</v>
      </c>
      <c r="G112" s="106">
        <f>((E54*(G54+4))-(E55/100*E54*(G54+4)))-(I59+(G91*(E54-E59)))</f>
        <v>268.07505158928575</v>
      </c>
      <c r="H112" s="106">
        <f>((E54*(G54+8))-(E55/100*E54*(G54+8)))-(I59+(G91*(E54-E59)))</f>
        <v>299.75505158928581</v>
      </c>
      <c r="I112" s="106">
        <f>((E54*(G54+12))-(E55/100*E54*(G54+12)))-(I59+(G91*(E54-E59)))</f>
        <v>331.43505158928588</v>
      </c>
    </row>
    <row r="113" spans="1:10">
      <c r="C113" s="122">
        <f>G91/100+0.05</f>
        <v>0.91734982803571441</v>
      </c>
      <c r="D113" s="106">
        <f>((E54*(G54-8))-(E55/100*E54*(G54-8)))-(I59+((G91+5)*(E54-E59)))</f>
        <v>158.03505158928579</v>
      </c>
      <c r="E113" s="106">
        <f>((E54*(G54-4))-(E55/100*E54*(G54-4)))-(I59+((G91+5)*(E54-E59)))</f>
        <v>189.71505158928585</v>
      </c>
      <c r="F113" s="106">
        <f>((E54*(G54))-(E55/100*E54*(G54)))-(I59+((G91+5)*(E54-E59)))</f>
        <v>221.39505158928569</v>
      </c>
      <c r="G113" s="106">
        <f>((E54*(G54+4))-(E55/100*E54*(G54+4)))-(I59+((G91+5)*(E54-E59)))</f>
        <v>253.07505158928575</v>
      </c>
      <c r="H113" s="106">
        <f>((E54*(G54+8))-(E55/100*E54*(G54+8)))-(I59+((G91+5)*(E54-E59)))</f>
        <v>284.75505158928581</v>
      </c>
      <c r="I113" s="106">
        <f>((E54*(G54+12))-(E55/100*E54*(G54+12)))-(I59+((G91+5)*(E54-E59)))</f>
        <v>316.43505158928588</v>
      </c>
    </row>
    <row r="114" spans="1:10">
      <c r="C114" s="122">
        <f>G91/100+0.1</f>
        <v>0.96734982803571434</v>
      </c>
      <c r="D114" s="106">
        <f>((E54*(G54-8))-(E55/100*E54*(G54-8)))-(I59+((G91+10)*(E54-E59)))</f>
        <v>143.03505158928579</v>
      </c>
      <c r="E114" s="106">
        <f>((E54*(G54-4))-(E55/100*E54*(G54-4)))-(I59+((G91+10)*(E54-E59)))</f>
        <v>174.71505158928585</v>
      </c>
      <c r="F114" s="106">
        <f>((E54*(G54))-(E55/100*E54*(G54)))-(I59+((G91+10)*(E54-E59)))</f>
        <v>206.39505158928569</v>
      </c>
      <c r="G114" s="106">
        <f>((E54*(G54+4))-(E55/100*E54*(G54+4)))-(I59+((G91+10)*(E54-E59)))</f>
        <v>238.07505158928575</v>
      </c>
      <c r="H114" s="106">
        <f>((E54*(G54+8))-(E55/100*E54*(G54+8)))-(I59+((G91+10)*(E54-E59)))</f>
        <v>269.75505158928581</v>
      </c>
      <c r="I114" s="106">
        <f>((E54*(G54+12))-(E55/100*E54*(G54+12)))-(I59+((G91+10)*(E54-E59)))</f>
        <v>301.43505158928588</v>
      </c>
    </row>
    <row r="115" spans="1:10">
      <c r="I115" s="23"/>
    </row>
    <row r="116" spans="1:10">
      <c r="B116" s="118" t="s">
        <v>58</v>
      </c>
      <c r="I116" s="23"/>
    </row>
    <row r="117" spans="1:10">
      <c r="B117" s="106" t="s">
        <v>59</v>
      </c>
      <c r="E117" s="119">
        <f>G59+10</f>
        <v>275</v>
      </c>
      <c r="F117" s="106" t="s">
        <v>60</v>
      </c>
      <c r="H117" s="45"/>
      <c r="I117" s="106"/>
    </row>
    <row r="118" spans="1:10">
      <c r="B118" s="106"/>
      <c r="C118" s="120" t="s">
        <v>88</v>
      </c>
      <c r="E118" s="45"/>
      <c r="F118" s="106"/>
      <c r="H118" s="45"/>
      <c r="I118" s="106"/>
    </row>
    <row r="119" spans="1:10">
      <c r="A119" s="8"/>
      <c r="B119" s="8"/>
      <c r="C119" s="123" t="s">
        <v>93</v>
      </c>
      <c r="D119" s="117">
        <f>G54-8</f>
        <v>222</v>
      </c>
      <c r="E119" s="117">
        <f>G54-4</f>
        <v>226</v>
      </c>
      <c r="F119" s="117">
        <f>G54</f>
        <v>230</v>
      </c>
      <c r="G119" s="117">
        <f>G54+4</f>
        <v>234</v>
      </c>
      <c r="H119" s="117">
        <f>G54+8</f>
        <v>238</v>
      </c>
      <c r="I119" s="117">
        <f>G54+12</f>
        <v>242</v>
      </c>
    </row>
    <row r="120" spans="1:10">
      <c r="C120" s="122">
        <f>G91/100-0.1</f>
        <v>0.76734982803571439</v>
      </c>
      <c r="D120" s="106">
        <f>((E54*(G54-8))-(E55/100*E54*(G54-8)))-((E59*(G59+10))+((G91-10)*(E54-E59)))</f>
        <v>153.03505158928579</v>
      </c>
      <c r="E120" s="106">
        <f>((E54*(G54-4))-(E55/100*E54*(G54-4)))-((E59*(G59+10))+((G91-10)*(E54-E59)))</f>
        <v>184.71505158928585</v>
      </c>
      <c r="F120" s="106">
        <f>((E54*(G54))-(E55/100*E54*(G54)))-((E59*(G59+10))+((G91-10)*(E54-E59)))</f>
        <v>216.39505158928569</v>
      </c>
      <c r="G120" s="106">
        <f>((E54*(G54+4))-(E55/100*E54*(G54+4)))-((E59*(G59+10))+((G91-10)*(E54-E59)))</f>
        <v>248.07505158928575</v>
      </c>
      <c r="H120" s="106">
        <f>((E54*(G54+8))-(E55/100*E54*(G54+8)))-((E59*(G59+10))+((G91-10)*(E54-E59)))</f>
        <v>279.75505158928581</v>
      </c>
      <c r="I120" s="106">
        <f>((E54*I119)-(E55/100*E54*I119))-((E59*E117)+(C120*100*(E54-E59)))</f>
        <v>311.43505158928588</v>
      </c>
    </row>
    <row r="121" spans="1:10">
      <c r="C121" s="122">
        <f>G91/100-0.05</f>
        <v>0.81734982803571432</v>
      </c>
      <c r="D121" s="106">
        <f>((E54*(G54-8))-(E55/100*E54*(G54-8)))-((E59*(G59+10))+((G91-5)*(E54-E59)))</f>
        <v>138.03505158928579</v>
      </c>
      <c r="E121" s="106">
        <f>((E54*(G54-4))-(E55/100*E54*(G54-4)))-((E59*(G59+10))+((G91-5)*(E54-E59)))</f>
        <v>169.71505158928585</v>
      </c>
      <c r="F121" s="106">
        <f>((E54*(G54))-(E55/100*E54*(G54)))-((E59*(G59+10))+((G91-5)*(E54-E59)))</f>
        <v>201.39505158928569</v>
      </c>
      <c r="G121" s="106">
        <f>((E54*(G54+4))-(E55/100*E54*(G54+4)))-((E59*(G59+10))+((G91-5)*(E54-E59)))</f>
        <v>233.07505158928575</v>
      </c>
      <c r="H121" s="106">
        <f>((E54*(G54+8))-(E55/100*E54*(G54+8)))-((E59*(G59+10))+((G91-5)*(E54-E59)))</f>
        <v>264.75505158928581</v>
      </c>
      <c r="I121" s="106">
        <f>((E54*(G54+12))-(E55/100*E54*(G54+12)))-((E59*(G59+10))+((G91-5)*(E54-E59)))</f>
        <v>296.43505158928588</v>
      </c>
    </row>
    <row r="122" spans="1:10">
      <c r="C122" s="122">
        <f>G91/100</f>
        <v>0.86734982803571437</v>
      </c>
      <c r="D122" s="106">
        <f>((E54*(G54-8))-(E55/100*E54*(G54-8)))-((E59*(G59+10))+(G91*(E54-E59)))</f>
        <v>123.03505158928579</v>
      </c>
      <c r="E122" s="106">
        <f>((E54*(G54-4))-(E55/100*E54*(G54-4)))-((E59*(G59+10))+(G91*(E54-E59)))</f>
        <v>154.71505158928585</v>
      </c>
      <c r="F122" s="106">
        <f>((E54*G54)-(E55/100*E54*G54))-((E59*(G59+10))+(G91*(E54-E59)))</f>
        <v>186.39505158928569</v>
      </c>
      <c r="G122" s="106">
        <f>((E54*(G54+4))-(E55/100*E54*(G54+4)))-((E59*(G59+10))+(G91*(E54-E59)))</f>
        <v>218.07505158928575</v>
      </c>
      <c r="H122" s="106">
        <f>((E54*(G54+8))-(E55/100*E54*(G54+8)))-((E59*(G59+10))+(G91*(E54-E59)))</f>
        <v>249.75505158928581</v>
      </c>
      <c r="I122" s="106">
        <f>((E54*(G54+12))-(E55/100*E54*(G54+12)))-((E59*(G59+10))+(G91*(E54-E59)))</f>
        <v>281.43505158928588</v>
      </c>
    </row>
    <row r="123" spans="1:10">
      <c r="C123" s="122">
        <f>G91/100+0.05</f>
        <v>0.91734982803571441</v>
      </c>
      <c r="D123" s="106">
        <f>((E54*(G54-8))-(E55/100*E54*(G54-8)))-((E59*(G59+10))+((G91+5)*(E54-E59)))</f>
        <v>108.03505158928579</v>
      </c>
      <c r="E123" s="106">
        <f>((E54*(G54-4))-(E55/100*E54*(G54-4)))-((E59*(G59+10))+((G91+5)*(E54-E59)))</f>
        <v>139.71505158928585</v>
      </c>
      <c r="F123" s="106">
        <f>((E54*(G54))-(E55/100*E54*(G54)))-((E59*(G59+10))+((G91+5)*(E54-E59)))</f>
        <v>171.39505158928569</v>
      </c>
      <c r="G123" s="106">
        <f>((E54*(G54+4))-(E55/100*E54*(G54+4)))-((E59*(G59+10))+((G91+5)*(E54-E59)))</f>
        <v>203.07505158928575</v>
      </c>
      <c r="H123" s="106">
        <f>((E54*(G54+8))-(E55/100*E54*(G54+8)))-((E59*(G59+10))+((G91+5)*(E54-E59)))</f>
        <v>234.75505158928581</v>
      </c>
      <c r="I123" s="106">
        <f>((E54*(G54+12))-(E55/100*E54*(G54+12)))-((E59*(G59+10))+((G91+5)*(E54-E59)))</f>
        <v>266.43505158928588</v>
      </c>
    </row>
    <row r="124" spans="1:10">
      <c r="C124" s="122">
        <f>G91/100+0.1</f>
        <v>0.96734982803571434</v>
      </c>
      <c r="D124" s="106">
        <f>((E54*(G54-8))-(E55/100*E54*(G54-8)))-((E59*(G59+10))+((G91+10)*(E54-E59)))</f>
        <v>93.035051589285786</v>
      </c>
      <c r="E124" s="106">
        <f>((E54*(G54-4))-(E55/100*E73*(G54-4)))-((E59*(G59+10))+((G91+10)*(E54-E59)))</f>
        <v>142.79505158928578</v>
      </c>
      <c r="F124" s="106">
        <f>((E54*(G54))-(E55/100*E54*(G54)))-((E59*(G59+10))+((G91+10)*(E54-E59)))</f>
        <v>156.39505158928569</v>
      </c>
      <c r="G124" s="106">
        <f>((E54*(G54+4))-(E55/100*E54*(G54+4)))-((E59*(G59+10))+((G91+10)*(E54-E59)))</f>
        <v>188.07505158928575</v>
      </c>
      <c r="H124" s="106">
        <f>((E54*(G54+8))-(E55/100*E54*(G54+8)))-((E59*(G59+10))+((G91+10)*(E54-E59)))</f>
        <v>219.75505158928581</v>
      </c>
      <c r="I124" s="106">
        <f>((E54*(G54+12))-(E55/100*E54*(G54+12)))-((E59*(G59+10))+((G91+10)*(E54-E59)))</f>
        <v>251.43505158928588</v>
      </c>
    </row>
    <row r="126" spans="1:10">
      <c r="A126" s="5"/>
      <c r="B126" s="5"/>
      <c r="C126" s="5"/>
      <c r="D126" s="5"/>
      <c r="E126" s="5"/>
      <c r="F126" s="5"/>
      <c r="G126" s="5"/>
      <c r="H126" s="5"/>
      <c r="I126" s="5"/>
    </row>
    <row r="127" spans="1:10" ht="15" customHeight="1">
      <c r="A127" s="5"/>
      <c r="B127" s="5"/>
      <c r="C127" s="5"/>
      <c r="D127" s="5"/>
      <c r="E127" s="5"/>
      <c r="F127" s="5"/>
      <c r="G127" s="5"/>
      <c r="H127" s="5"/>
      <c r="I127" s="5"/>
      <c r="J127" s="23"/>
    </row>
    <row r="128" spans="1:10">
      <c r="A128" s="23"/>
      <c r="I128" s="6"/>
      <c r="J128" s="23"/>
    </row>
    <row r="129" spans="1:10">
      <c r="A129" s="127"/>
      <c r="B129" s="127"/>
      <c r="C129" s="127"/>
      <c r="D129" s="127"/>
      <c r="E129" s="127"/>
      <c r="F129" s="127"/>
      <c r="G129" s="127"/>
      <c r="H129" s="127"/>
      <c r="I129" s="127"/>
      <c r="J129" s="23"/>
    </row>
    <row r="130" spans="1:10">
      <c r="A130" s="127"/>
      <c r="B130" s="127"/>
      <c r="C130" s="127"/>
      <c r="D130" s="127"/>
      <c r="E130" s="127"/>
      <c r="F130" s="127"/>
      <c r="G130" s="127"/>
      <c r="H130" s="127"/>
      <c r="I130" s="127"/>
      <c r="J130" s="23"/>
    </row>
    <row r="131" spans="1:10">
      <c r="G131" s="45"/>
      <c r="I131" s="124"/>
    </row>
    <row r="132" spans="1:10">
      <c r="A132" s="5"/>
      <c r="B132" s="5"/>
      <c r="C132" s="5"/>
      <c r="D132" s="5"/>
      <c r="E132" s="5"/>
      <c r="F132" s="5"/>
      <c r="G132" s="5"/>
      <c r="H132" s="5"/>
      <c r="I132" s="5"/>
    </row>
    <row r="133" spans="1:10" ht="15" customHeight="1">
      <c r="A133" s="6"/>
      <c r="B133" s="6"/>
      <c r="C133" s="6"/>
      <c r="D133" s="6"/>
      <c r="E133" s="6"/>
      <c r="F133" s="6"/>
      <c r="G133" s="6"/>
      <c r="H133" s="6"/>
      <c r="I133" s="6"/>
    </row>
    <row r="134" spans="1:10">
      <c r="A134" s="23"/>
      <c r="G134" s="45"/>
      <c r="I134" s="6"/>
    </row>
    <row r="136" spans="1:10">
      <c r="A136" s="125"/>
    </row>
    <row r="138" spans="1:10">
      <c r="A138" s="23"/>
    </row>
    <row r="139" spans="1:10">
      <c r="A139" s="125"/>
    </row>
    <row r="140" spans="1:10">
      <c r="A140" s="23"/>
    </row>
    <row r="151" spans="1:1">
      <c r="A151" s="23"/>
    </row>
  </sheetData>
  <sheetProtection algorithmName="SHA-512" hashValue="Ut8Xi7sBWbc3wfuY5gC3fnCpYDEsT3xTB8qX9byFvq6pmf8j3rt9e1weLMPnn116GKGwA2bCSHmU0GXH/AplGg==" saltValue="O+S1qw4zPN70vYy3tP5MXw==" spinCount="100000" sheet="1" objects="1" scenarios="1"/>
  <phoneticPr fontId="2" type="noConversion"/>
  <conditionalFormatting sqref="D99:I103">
    <cfRule type="colorScale" priority="28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$I$87"/>
        <cfvo type="max"/>
        <color rgb="FFF8696B"/>
        <color rgb="FFFFEB84"/>
        <color rgb="FF63BE7B"/>
      </colorScale>
    </cfRule>
    <cfRule type="colorScale" priority="27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10:I114">
    <cfRule type="colorScale" priority="31">
      <colorScale>
        <cfvo type="min"/>
        <cfvo type="num" val="$I$87"/>
        <cfvo type="max"/>
        <color rgb="FFF8696B"/>
        <color rgb="FFFFEB84"/>
        <color rgb="FF63BE7B"/>
      </colorScale>
    </cfRule>
    <cfRule type="colorScale" priority="30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20:I12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H20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headerFooter alignWithMargins="0"/>
  <rowBreaks count="1" manualBreakCount="1">
    <brk id="87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3087"/>
  </sheetPr>
  <dimension ref="A2:N152"/>
  <sheetViews>
    <sheetView zoomScaleNormal="100" workbookViewId="0">
      <selection activeCell="C6" sqref="C6"/>
    </sheetView>
  </sheetViews>
  <sheetFormatPr baseColWidth="10" defaultColWidth="10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6640625" customWidth="1"/>
    <col min="11" max="11" width="10.1640625" style="4" customWidth="1"/>
    <col min="12" max="12" width="10.6640625" style="4" customWidth="1"/>
    <col min="13" max="16384" width="10.1640625" style="4"/>
  </cols>
  <sheetData>
    <row r="2" spans="1:14" ht="16" customHeight="1">
      <c r="A2" s="192" t="s">
        <v>310</v>
      </c>
      <c r="B2" s="171"/>
      <c r="C2" s="171"/>
      <c r="D2" s="171"/>
      <c r="E2" s="171"/>
      <c r="F2" s="171"/>
    </row>
    <row r="3" spans="1:14" ht="16" customHeight="1">
      <c r="A3" s="192" t="s">
        <v>357</v>
      </c>
      <c r="B3" s="171"/>
      <c r="C3" s="171"/>
      <c r="D3" s="171"/>
      <c r="E3" s="171"/>
      <c r="F3" s="171"/>
    </row>
    <row r="4" spans="1:14" ht="16" customHeight="1">
      <c r="A4" s="170"/>
      <c r="B4" s="170"/>
      <c r="C4" s="170"/>
      <c r="D4" s="170"/>
      <c r="E4" s="170"/>
      <c r="F4" s="170"/>
    </row>
    <row r="5" spans="1:14" ht="16" customHeight="1">
      <c r="A5" s="170"/>
      <c r="B5" s="170"/>
      <c r="C5" s="170"/>
      <c r="D5" s="170"/>
      <c r="E5" s="170"/>
      <c r="F5" s="170"/>
    </row>
    <row r="6" spans="1:14" ht="16" customHeight="1">
      <c r="A6" s="170"/>
      <c r="B6" s="170"/>
      <c r="C6" s="170"/>
      <c r="D6" s="170"/>
      <c r="E6" s="170"/>
      <c r="F6" s="170"/>
    </row>
    <row r="7" spans="1:14">
      <c r="A7" s="178">
        <f>+'Step 1 - Feed Cost Input Sheet '!F23</f>
        <v>45229</v>
      </c>
      <c r="B7" s="178"/>
    </row>
    <row r="8" spans="1:14">
      <c r="K8" s="128"/>
    </row>
    <row r="9" spans="1:14" ht="17" thickBot="1">
      <c r="A9" s="23" t="s">
        <v>282</v>
      </c>
      <c r="K9" s="128"/>
    </row>
    <row r="10" spans="1:14" ht="17" thickBot="1">
      <c r="A10" s="24" t="s">
        <v>0</v>
      </c>
      <c r="B10" s="25"/>
      <c r="C10" s="25"/>
      <c r="D10" s="24" t="s">
        <v>1</v>
      </c>
      <c r="E10" s="25"/>
      <c r="F10" s="24" t="s">
        <v>0</v>
      </c>
      <c r="G10" s="25"/>
      <c r="H10" s="24" t="s">
        <v>2</v>
      </c>
      <c r="I10" s="25"/>
      <c r="K10" s="128"/>
    </row>
    <row r="11" spans="1:14">
      <c r="A11" s="26" t="s">
        <v>3</v>
      </c>
      <c r="E11" s="28" t="s">
        <v>4</v>
      </c>
      <c r="F11" s="26" t="s">
        <v>9</v>
      </c>
      <c r="K11" s="176" t="s">
        <v>358</v>
      </c>
      <c r="L11" s="176"/>
      <c r="M11" s="176"/>
      <c r="N11" s="176"/>
    </row>
    <row r="12" spans="1:14">
      <c r="A12" s="23" t="s">
        <v>77</v>
      </c>
      <c r="D12" s="12">
        <v>14</v>
      </c>
      <c r="E12" s="28" t="s">
        <v>4</v>
      </c>
      <c r="F12" s="23" t="s">
        <v>95</v>
      </c>
      <c r="I12" s="12">
        <v>6</v>
      </c>
      <c r="K12" s="176" t="s">
        <v>359</v>
      </c>
      <c r="L12" s="176"/>
      <c r="M12" s="176"/>
      <c r="N12" s="176"/>
    </row>
    <row r="13" spans="1:14">
      <c r="A13" s="23" t="s">
        <v>78</v>
      </c>
      <c r="D13" s="69">
        <v>183</v>
      </c>
      <c r="E13" s="28" t="s">
        <v>4</v>
      </c>
      <c r="F13" s="23" t="s">
        <v>96</v>
      </c>
      <c r="I13" s="69">
        <v>6</v>
      </c>
      <c r="K13" s="176" t="s">
        <v>360</v>
      </c>
      <c r="L13" s="176"/>
      <c r="M13" s="176"/>
      <c r="N13" s="176"/>
    </row>
    <row r="14" spans="1:14">
      <c r="A14" s="23" t="s">
        <v>79</v>
      </c>
      <c r="D14" s="12">
        <v>1</v>
      </c>
      <c r="E14" s="28" t="s">
        <v>4</v>
      </c>
      <c r="F14" s="23" t="s">
        <v>97</v>
      </c>
      <c r="I14" s="69">
        <v>100</v>
      </c>
      <c r="K14" s="23"/>
      <c r="M14" s="130"/>
    </row>
    <row r="15" spans="1:14">
      <c r="E15" s="28" t="s">
        <v>4</v>
      </c>
      <c r="I15" s="27"/>
      <c r="K15" s="23"/>
      <c r="M15" s="131"/>
    </row>
    <row r="16" spans="1:14">
      <c r="A16" s="26" t="s">
        <v>38</v>
      </c>
      <c r="E16" s="28" t="s">
        <v>4</v>
      </c>
      <c r="F16" s="26" t="s">
        <v>41</v>
      </c>
      <c r="I16" s="27"/>
    </row>
    <row r="17" spans="1:14">
      <c r="A17" s="23" t="s">
        <v>80</v>
      </c>
      <c r="D17" s="12">
        <v>7</v>
      </c>
      <c r="E17" s="28" t="s">
        <v>4</v>
      </c>
      <c r="F17" s="23" t="s">
        <v>98</v>
      </c>
      <c r="I17" s="126">
        <v>7</v>
      </c>
      <c r="K17" s="132">
        <f>+I17*30</f>
        <v>210</v>
      </c>
      <c r="L17" s="133" t="s">
        <v>116</v>
      </c>
    </row>
    <row r="18" spans="1:14">
      <c r="A18" s="23" t="s">
        <v>81</v>
      </c>
      <c r="D18" s="69">
        <v>250</v>
      </c>
      <c r="E18" s="28" t="s">
        <v>4</v>
      </c>
      <c r="F18" s="134"/>
    </row>
    <row r="19" spans="1:14" ht="17" thickBot="1">
      <c r="D19" s="27"/>
      <c r="E19" s="28" t="s">
        <v>4</v>
      </c>
      <c r="F19" s="27" t="s">
        <v>117</v>
      </c>
      <c r="K19" s="102"/>
    </row>
    <row r="20" spans="1:14" ht="18" thickTop="1" thickBot="1">
      <c r="A20" s="26" t="s">
        <v>39</v>
      </c>
      <c r="D20" s="27"/>
      <c r="E20" s="28" t="s">
        <v>4</v>
      </c>
      <c r="F20" s="4" t="s">
        <v>147</v>
      </c>
      <c r="I20" s="74">
        <v>0</v>
      </c>
      <c r="K20" s="176" t="s">
        <v>361</v>
      </c>
      <c r="L20" s="176"/>
      <c r="M20" s="176"/>
      <c r="N20" s="176"/>
    </row>
    <row r="21" spans="1:14" ht="17" thickTop="1">
      <c r="A21" s="23" t="s">
        <v>82</v>
      </c>
      <c r="D21" s="69">
        <v>5</v>
      </c>
      <c r="E21" s="28" t="s">
        <v>4</v>
      </c>
      <c r="F21" s="4" t="s">
        <v>119</v>
      </c>
      <c r="I21" s="75">
        <v>90</v>
      </c>
      <c r="K21" s="176" t="s">
        <v>362</v>
      </c>
      <c r="L21" s="176"/>
      <c r="M21" s="176"/>
      <c r="N21" s="176"/>
    </row>
    <row r="22" spans="1:14" ht="17" thickBot="1">
      <c r="A22" s="23" t="s">
        <v>83</v>
      </c>
      <c r="D22" s="69">
        <v>30</v>
      </c>
      <c r="E22" s="28" t="s">
        <v>4</v>
      </c>
      <c r="F22" s="4" t="s">
        <v>118</v>
      </c>
      <c r="I22" s="69">
        <v>4</v>
      </c>
      <c r="K22" s="176" t="s">
        <v>363</v>
      </c>
      <c r="L22" s="176"/>
      <c r="M22" s="176"/>
      <c r="N22" s="176"/>
    </row>
    <row r="23" spans="1:14" ht="18" thickTop="1" thickBot="1">
      <c r="A23" s="23" t="s">
        <v>84</v>
      </c>
      <c r="D23" s="69">
        <v>18</v>
      </c>
      <c r="E23" s="28" t="s">
        <v>4</v>
      </c>
      <c r="F23" s="4" t="s">
        <v>120</v>
      </c>
      <c r="I23" s="76">
        <v>10</v>
      </c>
      <c r="K23" s="176" t="s">
        <v>364</v>
      </c>
      <c r="L23" s="176"/>
      <c r="M23" s="176"/>
      <c r="N23" s="176"/>
    </row>
    <row r="24" spans="1:14" ht="15" customHeight="1" thickTop="1">
      <c r="D24" s="23"/>
      <c r="F24" s="8" t="s">
        <v>122</v>
      </c>
      <c r="G24" s="8"/>
      <c r="I24" s="77">
        <v>25</v>
      </c>
    </row>
    <row r="25" spans="1:14">
      <c r="A25" s="135"/>
      <c r="B25" s="135"/>
      <c r="C25" s="135"/>
      <c r="D25" s="136"/>
      <c r="E25" s="135"/>
      <c r="H25" s="135"/>
    </row>
    <row r="26" spans="1:14">
      <c r="A26" s="27" t="s">
        <v>69</v>
      </c>
      <c r="D26" s="28"/>
      <c r="E26" s="23"/>
    </row>
    <row r="27" spans="1:14" ht="68">
      <c r="B27" s="8" t="s">
        <v>70</v>
      </c>
      <c r="C27" s="8"/>
      <c r="D27" s="8"/>
      <c r="E27" s="8"/>
      <c r="F27" s="153" t="s">
        <v>112</v>
      </c>
      <c r="G27" s="153" t="s">
        <v>113</v>
      </c>
      <c r="H27" s="153" t="s">
        <v>114</v>
      </c>
      <c r="I27" s="8" t="s">
        <v>115</v>
      </c>
    </row>
    <row r="28" spans="1:14">
      <c r="A28" s="9"/>
      <c r="B28" s="27" t="str">
        <f>+'Step 1 - Feed Cost Input Sheet '!A24</f>
        <v>20% Liquid</v>
      </c>
      <c r="C28" s="82"/>
      <c r="D28" s="82"/>
      <c r="F28" s="12">
        <v>1.33</v>
      </c>
      <c r="G28" s="4">
        <f>+(F28/100)*$K$17</f>
        <v>2.7930000000000001</v>
      </c>
      <c r="H28" s="35">
        <f>+'Step 1 - Feed Cost Input Sheet '!B24</f>
        <v>15</v>
      </c>
      <c r="I28" s="82" t="s">
        <v>71</v>
      </c>
      <c r="K28" s="36"/>
      <c r="L28" s="36"/>
      <c r="M28" s="36"/>
      <c r="N28" s="36"/>
    </row>
    <row r="29" spans="1:14">
      <c r="A29" s="9"/>
      <c r="B29" s="27" t="str">
        <f>+'Step 1 - Feed Cost Input Sheet '!A25</f>
        <v>Mineral &amp; Salt</v>
      </c>
      <c r="C29" s="82"/>
      <c r="D29" s="82"/>
      <c r="F29" s="12">
        <v>0</v>
      </c>
      <c r="G29" s="4">
        <f>+(F29/100)*$K$17</f>
        <v>0</v>
      </c>
      <c r="H29" s="35">
        <f>+'Step 1 - Feed Cost Input Sheet '!B25</f>
        <v>22</v>
      </c>
      <c r="I29" s="82" t="s">
        <v>71</v>
      </c>
      <c r="K29" s="36"/>
      <c r="L29" s="36"/>
      <c r="M29" s="36"/>
      <c r="N29" s="36"/>
    </row>
    <row r="30" spans="1:14">
      <c r="A30" s="9"/>
      <c r="B30" s="27" t="str">
        <f>+'Step 1 - Feed Cost Input Sheet '!A26</f>
        <v>Dry Corn</v>
      </c>
      <c r="C30" s="82"/>
      <c r="D30" s="82"/>
      <c r="F30" s="12">
        <v>6.77</v>
      </c>
      <c r="G30" s="4">
        <f>+(F30/56)*$K$17</f>
        <v>25.387499999999999</v>
      </c>
      <c r="H30" s="35">
        <f>+'Step 1 - Feed Cost Input Sheet '!B26</f>
        <v>4</v>
      </c>
      <c r="I30" s="82" t="s">
        <v>72</v>
      </c>
      <c r="K30" s="36"/>
      <c r="L30" s="36"/>
      <c r="M30" s="36"/>
      <c r="N30" s="36"/>
    </row>
    <row r="31" spans="1:14">
      <c r="A31" s="9"/>
      <c r="B31" s="27" t="str">
        <f>+'Step 1 - Feed Cost Input Sheet '!A27</f>
        <v>High Moisture Corn</v>
      </c>
      <c r="C31" s="82"/>
      <c r="D31" s="82"/>
      <c r="F31" s="12">
        <v>3.48</v>
      </c>
      <c r="G31" s="4">
        <f>+(F31/56)*$K$17</f>
        <v>13.05</v>
      </c>
      <c r="H31" s="35">
        <f>+'Step 1 - Feed Cost Input Sheet '!B27</f>
        <v>2.25</v>
      </c>
      <c r="I31" s="82" t="s">
        <v>72</v>
      </c>
      <c r="K31" s="36"/>
      <c r="L31" s="36"/>
      <c r="M31" s="36"/>
      <c r="N31" s="36"/>
    </row>
    <row r="32" spans="1:14">
      <c r="A32" s="9"/>
      <c r="B32" s="27" t="str">
        <f>+'Step 1 - Feed Cost Input Sheet '!A28</f>
        <v>Hay</v>
      </c>
      <c r="C32" s="82"/>
      <c r="D32" s="82"/>
      <c r="F32" s="12">
        <v>0.56999999999999995</v>
      </c>
      <c r="G32" s="4">
        <f>+(F32/2000)*$K$17</f>
        <v>5.985E-2</v>
      </c>
      <c r="H32" s="35">
        <f>+'Step 1 - Feed Cost Input Sheet '!B28</f>
        <v>200</v>
      </c>
      <c r="I32" s="82" t="s">
        <v>73</v>
      </c>
    </row>
    <row r="33" spans="1:11">
      <c r="A33" s="9"/>
      <c r="B33" s="27" t="str">
        <f>+'Step 1 - Feed Cost Input Sheet '!A29</f>
        <v>Alfalfa</v>
      </c>
      <c r="C33" s="82"/>
      <c r="D33" s="82"/>
      <c r="F33" s="12">
        <v>0</v>
      </c>
      <c r="G33" s="4">
        <f>+(F33/2000)*$K$17</f>
        <v>0</v>
      </c>
      <c r="H33" s="35">
        <f>+'Step 1 - Feed Cost Input Sheet '!B29</f>
        <v>250</v>
      </c>
      <c r="I33" s="82" t="s">
        <v>73</v>
      </c>
    </row>
    <row r="34" spans="1:11">
      <c r="A34" s="9"/>
      <c r="B34" s="27" t="str">
        <f>+'Step 1 - Feed Cost Input Sheet '!A30</f>
        <v>Silage</v>
      </c>
      <c r="C34" s="82"/>
      <c r="D34" s="82"/>
      <c r="F34" s="12">
        <v>1.83</v>
      </c>
      <c r="G34" s="4">
        <f>+(F34/2000)*$K$17</f>
        <v>0.19215000000000002</v>
      </c>
      <c r="H34" s="35">
        <f>+'Step 1 - Feed Cost Input Sheet '!B30</f>
        <v>40</v>
      </c>
      <c r="I34" s="82" t="s">
        <v>73</v>
      </c>
    </row>
    <row r="35" spans="1:11">
      <c r="A35" s="9"/>
      <c r="B35" s="27" t="str">
        <f>+'Step 1 - Feed Cost Input Sheet '!A31</f>
        <v>Corn Stover</v>
      </c>
      <c r="C35" s="82"/>
      <c r="D35" s="82"/>
      <c r="F35" s="12">
        <v>2.0499999999999998</v>
      </c>
      <c r="G35" s="4">
        <f>+(F35/2000)*$K$17</f>
        <v>0.21524999999999997</v>
      </c>
      <c r="H35" s="35">
        <f>+'Step 1 - Feed Cost Input Sheet '!B31</f>
        <v>90</v>
      </c>
      <c r="I35" s="82" t="s">
        <v>73</v>
      </c>
    </row>
    <row r="36" spans="1:11">
      <c r="A36" s="9"/>
      <c r="B36" s="27" t="str">
        <f>+'Step 1 - Feed Cost Input Sheet '!A32</f>
        <v>Dried Distillers</v>
      </c>
      <c r="C36" s="82"/>
      <c r="D36" s="82"/>
      <c r="F36" s="12">
        <v>1.73</v>
      </c>
      <c r="G36" s="4">
        <f>+(F36/2000)*$K$17</f>
        <v>0.18165000000000001</v>
      </c>
      <c r="H36" s="35">
        <f>+'Step 1 - Feed Cost Input Sheet '!B32</f>
        <v>125</v>
      </c>
      <c r="I36" s="82" t="s">
        <v>73</v>
      </c>
    </row>
    <row r="37" spans="1:11">
      <c r="A37" s="10"/>
      <c r="B37" s="37" t="str">
        <f>+'Step 1 - Feed Cost Input Sheet '!A33</f>
        <v>Pasture</v>
      </c>
      <c r="C37" s="137"/>
      <c r="D37" s="138"/>
      <c r="E37" s="8"/>
      <c r="F37" s="14">
        <v>0</v>
      </c>
      <c r="G37" s="8">
        <f>+(F37/0.75)*$K$17</f>
        <v>0</v>
      </c>
      <c r="H37" s="41">
        <f>+'Step 1 - Feed Cost Input Sheet '!B33</f>
        <v>55</v>
      </c>
      <c r="I37" s="137" t="s">
        <v>101</v>
      </c>
    </row>
    <row r="38" spans="1:11">
      <c r="A38" s="9"/>
      <c r="B38" s="27"/>
      <c r="C38" s="82"/>
      <c r="D38" s="145"/>
      <c r="H38" s="79"/>
      <c r="I38" s="82"/>
    </row>
    <row r="39" spans="1:11" ht="19" customHeight="1">
      <c r="A39" s="192" t="s">
        <v>310</v>
      </c>
      <c r="B39" s="174"/>
      <c r="C39" s="174"/>
      <c r="D39" s="174"/>
      <c r="E39" s="174"/>
      <c r="F39" s="174"/>
      <c r="H39" s="79"/>
      <c r="I39" s="82"/>
    </row>
    <row r="40" spans="1:11" ht="19" customHeight="1">
      <c r="A40" s="192" t="s">
        <v>357</v>
      </c>
      <c r="B40" s="174"/>
      <c r="C40" s="174"/>
      <c r="D40" s="174"/>
      <c r="E40" s="174"/>
      <c r="F40" s="174"/>
      <c r="H40" s="79"/>
      <c r="I40" s="82"/>
    </row>
    <row r="41" spans="1:11" ht="16" customHeight="1">
      <c r="A41" s="173"/>
      <c r="B41" s="173"/>
      <c r="C41" s="173"/>
      <c r="D41" s="173"/>
      <c r="E41" s="173"/>
      <c r="F41" s="173"/>
      <c r="H41" s="79"/>
      <c r="I41" s="82"/>
    </row>
    <row r="42" spans="1:11" ht="16" customHeight="1">
      <c r="A42" s="173"/>
      <c r="B42" s="173"/>
      <c r="C42" s="173"/>
      <c r="D42" s="173"/>
      <c r="E42" s="173"/>
      <c r="F42" s="173"/>
      <c r="H42" s="79"/>
      <c r="I42" s="82"/>
    </row>
    <row r="43" spans="1:11" ht="16" customHeight="1">
      <c r="A43" s="173"/>
      <c r="B43" s="173"/>
      <c r="C43" s="173"/>
      <c r="D43" s="173"/>
      <c r="E43" s="173"/>
      <c r="F43" s="173"/>
      <c r="H43" s="79"/>
      <c r="I43" s="82"/>
    </row>
    <row r="44" spans="1:11">
      <c r="A44" s="9"/>
      <c r="B44" s="27"/>
      <c r="C44" s="82"/>
      <c r="D44" s="145"/>
      <c r="F44" s="101"/>
      <c r="H44" s="79"/>
      <c r="I44" s="82"/>
    </row>
    <row r="45" spans="1:11">
      <c r="A45" s="178">
        <f>+'Step 1 - Feed Cost Input Sheet '!F23</f>
        <v>45229</v>
      </c>
      <c r="B45" s="178"/>
    </row>
    <row r="46" spans="1:11">
      <c r="A46" s="23" t="s">
        <v>10</v>
      </c>
      <c r="B46" s="139"/>
      <c r="C46" s="139"/>
      <c r="D46" s="139"/>
      <c r="E46" s="139"/>
      <c r="F46" s="139"/>
      <c r="G46" s="139"/>
      <c r="H46" s="139"/>
      <c r="I46" s="139"/>
      <c r="K46" s="140"/>
    </row>
    <row r="47" spans="1:11">
      <c r="A47" s="7" t="s">
        <v>37</v>
      </c>
      <c r="B47" s="51">
        <f>+(D12-D17)*100</f>
        <v>700</v>
      </c>
      <c r="C47" s="23" t="s">
        <v>109</v>
      </c>
      <c r="D47" s="129">
        <f>+I17</f>
        <v>7</v>
      </c>
      <c r="E47" s="23" t="s">
        <v>61</v>
      </c>
      <c r="G47" s="11">
        <f>B47/(D47*30)</f>
        <v>3.3333333333333335</v>
      </c>
      <c r="H47" s="23" t="s">
        <v>94</v>
      </c>
      <c r="K47" s="140"/>
    </row>
    <row r="48" spans="1:11">
      <c r="A48" s="26" t="s">
        <v>11</v>
      </c>
      <c r="K48" s="7"/>
    </row>
    <row r="49" spans="1:11">
      <c r="B49" s="23" t="s">
        <v>62</v>
      </c>
      <c r="E49" s="4">
        <f>D12</f>
        <v>14</v>
      </c>
      <c r="F49" s="11" t="s">
        <v>43</v>
      </c>
      <c r="G49" s="105">
        <f>D13</f>
        <v>183</v>
      </c>
      <c r="I49" s="105">
        <f>E49*G49</f>
        <v>2562</v>
      </c>
      <c r="K49" s="54"/>
    </row>
    <row r="50" spans="1:11" ht="17" thickBot="1">
      <c r="B50" s="23" t="s">
        <v>44</v>
      </c>
      <c r="D50" s="7" t="s">
        <v>29</v>
      </c>
      <c r="E50" s="4">
        <f>D14</f>
        <v>1</v>
      </c>
      <c r="F50" s="11" t="s">
        <v>63</v>
      </c>
      <c r="G50" s="97">
        <f>SUM(I49)</f>
        <v>2562</v>
      </c>
      <c r="H50" s="23" t="s">
        <v>27</v>
      </c>
      <c r="I50" s="107">
        <f>-(E50*G50/100)</f>
        <v>-25.62</v>
      </c>
      <c r="K50" s="54"/>
    </row>
    <row r="51" spans="1:11" ht="17" thickBot="1">
      <c r="D51" s="23" t="s">
        <v>12</v>
      </c>
      <c r="I51" s="108">
        <f>SUM(I49:I50)</f>
        <v>2536.38</v>
      </c>
      <c r="K51" s="54"/>
    </row>
    <row r="53" spans="1:11">
      <c r="A53" s="26" t="s">
        <v>13</v>
      </c>
    </row>
    <row r="54" spans="1:11">
      <c r="B54" s="23" t="s">
        <v>64</v>
      </c>
      <c r="E54" s="4">
        <f>D17</f>
        <v>7</v>
      </c>
      <c r="F54" s="7" t="s">
        <v>15</v>
      </c>
      <c r="G54" s="105">
        <f>D18</f>
        <v>250</v>
      </c>
      <c r="I54" s="105">
        <f>E54*G54</f>
        <v>1750</v>
      </c>
      <c r="K54" s="54"/>
    </row>
    <row r="55" spans="1:11">
      <c r="B55" s="23" t="s">
        <v>99</v>
      </c>
      <c r="F55" s="7"/>
      <c r="I55" s="105">
        <f>+SUM(H56:H65)</f>
        <v>234.54225000000002</v>
      </c>
    </row>
    <row r="56" spans="1:11">
      <c r="C56" s="23" t="str">
        <f t="shared" ref="C56:C65" si="0">+B28</f>
        <v>20% Liquid</v>
      </c>
      <c r="E56" s="7">
        <f t="shared" ref="E56:E65" si="1">+G28</f>
        <v>2.7930000000000001</v>
      </c>
      <c r="F56" s="7" t="s">
        <v>15</v>
      </c>
      <c r="G56" s="105">
        <f t="shared" ref="G56:G65" si="2">+H28</f>
        <v>15</v>
      </c>
      <c r="H56" s="105">
        <f>+E56*G56</f>
        <v>41.895000000000003</v>
      </c>
      <c r="I56" s="45"/>
      <c r="K56" s="54"/>
    </row>
    <row r="57" spans="1:11">
      <c r="C57" s="23" t="str">
        <f t="shared" si="0"/>
        <v>Mineral &amp; Salt</v>
      </c>
      <c r="E57" s="7">
        <f t="shared" si="1"/>
        <v>0</v>
      </c>
      <c r="F57" s="7" t="s">
        <v>15</v>
      </c>
      <c r="G57" s="105">
        <f t="shared" si="2"/>
        <v>22</v>
      </c>
      <c r="H57" s="105">
        <f t="shared" ref="H57:H65" si="3">+E57*G57</f>
        <v>0</v>
      </c>
      <c r="I57" s="45"/>
      <c r="K57" s="54"/>
    </row>
    <row r="58" spans="1:11">
      <c r="C58" s="4" t="str">
        <f t="shared" si="0"/>
        <v>Dry Corn</v>
      </c>
      <c r="E58" s="7">
        <f t="shared" si="1"/>
        <v>25.387499999999999</v>
      </c>
      <c r="F58" s="7" t="s">
        <v>49</v>
      </c>
      <c r="G58" s="105">
        <f t="shared" si="2"/>
        <v>4</v>
      </c>
      <c r="H58" s="105">
        <f>+E58*G58</f>
        <v>101.55</v>
      </c>
    </row>
    <row r="59" spans="1:11">
      <c r="C59" s="4" t="str">
        <f t="shared" si="0"/>
        <v>High Moisture Corn</v>
      </c>
      <c r="E59" s="7">
        <f t="shared" si="1"/>
        <v>13.05</v>
      </c>
      <c r="F59" s="7" t="s">
        <v>49</v>
      </c>
      <c r="G59" s="105">
        <f t="shared" si="2"/>
        <v>2.25</v>
      </c>
      <c r="H59" s="105">
        <f>+E59*G59</f>
        <v>29.362500000000001</v>
      </c>
      <c r="K59" s="54"/>
    </row>
    <row r="60" spans="1:11">
      <c r="C60" s="4" t="str">
        <f t="shared" si="0"/>
        <v>Hay</v>
      </c>
      <c r="E60" s="7">
        <f t="shared" si="1"/>
        <v>5.985E-2</v>
      </c>
      <c r="F60" s="7" t="s">
        <v>50</v>
      </c>
      <c r="G60" s="105">
        <f t="shared" si="2"/>
        <v>200</v>
      </c>
      <c r="H60" s="105">
        <f t="shared" si="3"/>
        <v>11.97</v>
      </c>
      <c r="K60" s="54"/>
    </row>
    <row r="61" spans="1:11">
      <c r="C61" s="4" t="str">
        <f t="shared" si="0"/>
        <v>Alfalfa</v>
      </c>
      <c r="E61" s="7">
        <f t="shared" si="1"/>
        <v>0</v>
      </c>
      <c r="F61" s="7" t="s">
        <v>50</v>
      </c>
      <c r="G61" s="105">
        <f t="shared" si="2"/>
        <v>250</v>
      </c>
      <c r="H61" s="105">
        <f t="shared" si="3"/>
        <v>0</v>
      </c>
      <c r="K61" s="54"/>
    </row>
    <row r="62" spans="1:11">
      <c r="C62" s="4" t="str">
        <f t="shared" si="0"/>
        <v>Silage</v>
      </c>
      <c r="E62" s="7">
        <f t="shared" si="1"/>
        <v>0.19215000000000002</v>
      </c>
      <c r="F62" s="7" t="s">
        <v>50</v>
      </c>
      <c r="G62" s="105">
        <f t="shared" si="2"/>
        <v>40</v>
      </c>
      <c r="H62" s="105">
        <f t="shared" si="3"/>
        <v>7.6860000000000008</v>
      </c>
    </row>
    <row r="63" spans="1:11">
      <c r="C63" s="23" t="str">
        <f t="shared" si="0"/>
        <v>Corn Stover</v>
      </c>
      <c r="E63" s="7">
        <f t="shared" si="1"/>
        <v>0.21524999999999997</v>
      </c>
      <c r="F63" s="7" t="s">
        <v>50</v>
      </c>
      <c r="G63" s="105">
        <f t="shared" si="2"/>
        <v>90</v>
      </c>
      <c r="H63" s="105">
        <f t="shared" si="3"/>
        <v>19.372499999999999</v>
      </c>
      <c r="I63" s="45"/>
      <c r="K63" s="54"/>
    </row>
    <row r="64" spans="1:11">
      <c r="C64" s="23" t="str">
        <f t="shared" si="0"/>
        <v>Dried Distillers</v>
      </c>
      <c r="E64" s="7">
        <f t="shared" si="1"/>
        <v>0.18165000000000001</v>
      </c>
      <c r="F64" s="7" t="s">
        <v>50</v>
      </c>
      <c r="G64" s="105">
        <f t="shared" si="2"/>
        <v>125</v>
      </c>
      <c r="H64" s="105">
        <f t="shared" si="3"/>
        <v>22.706250000000001</v>
      </c>
      <c r="I64" s="45"/>
      <c r="K64" s="54"/>
    </row>
    <row r="65" spans="1:11">
      <c r="C65" s="23" t="str">
        <f t="shared" si="0"/>
        <v>Pasture</v>
      </c>
      <c r="E65" s="7">
        <f t="shared" si="1"/>
        <v>0</v>
      </c>
      <c r="F65" s="7" t="s">
        <v>110</v>
      </c>
      <c r="G65" s="105">
        <f t="shared" si="2"/>
        <v>55</v>
      </c>
      <c r="H65" s="105">
        <f t="shared" si="3"/>
        <v>0</v>
      </c>
      <c r="K65" s="54"/>
    </row>
    <row r="66" spans="1:11">
      <c r="B66" s="23" t="s">
        <v>16</v>
      </c>
      <c r="I66" s="105">
        <f>D21</f>
        <v>5</v>
      </c>
      <c r="K66" s="54"/>
    </row>
    <row r="67" spans="1:11">
      <c r="B67" s="23" t="s">
        <v>17</v>
      </c>
      <c r="I67" s="105">
        <f>D22</f>
        <v>30</v>
      </c>
      <c r="K67" s="54"/>
    </row>
    <row r="68" spans="1:11">
      <c r="B68" s="23" t="s">
        <v>18</v>
      </c>
      <c r="I68" s="46">
        <f>D23</f>
        <v>18</v>
      </c>
      <c r="K68" s="54"/>
    </row>
    <row r="69" spans="1:11" ht="17" thickBot="1">
      <c r="B69" s="23" t="s">
        <v>121</v>
      </c>
      <c r="I69" s="46">
        <f>+IF(I20=0,(I21/I23*I22/I24),(I20*I21/I24))</f>
        <v>1.44</v>
      </c>
      <c r="K69" s="54"/>
    </row>
    <row r="70" spans="1:11" ht="17" thickBot="1">
      <c r="D70" s="23" t="s">
        <v>19</v>
      </c>
      <c r="I70" s="108">
        <f>SUM(I54:I69)</f>
        <v>2038.98225</v>
      </c>
    </row>
    <row r="71" spans="1:11" ht="17" thickBot="1">
      <c r="A71" s="26" t="s">
        <v>20</v>
      </c>
      <c r="I71" s="108">
        <f>I51-I70</f>
        <v>497.39775000000009</v>
      </c>
      <c r="K71" s="54"/>
    </row>
    <row r="73" spans="1:11">
      <c r="A73" s="26" t="s">
        <v>21</v>
      </c>
    </row>
    <row r="74" spans="1:11">
      <c r="B74" s="23" t="s">
        <v>22</v>
      </c>
      <c r="G74" s="112">
        <f>I12/100</f>
        <v>0.06</v>
      </c>
    </row>
    <row r="75" spans="1:11">
      <c r="B75" s="23" t="s">
        <v>23</v>
      </c>
      <c r="I75" s="105">
        <f>((I70*I12))/100</f>
        <v>122.33893500000001</v>
      </c>
      <c r="K75" s="54"/>
    </row>
    <row r="76" spans="1:11">
      <c r="B76" s="23" t="s">
        <v>24</v>
      </c>
      <c r="I76" s="105">
        <f>I13</f>
        <v>6</v>
      </c>
      <c r="K76" s="54"/>
    </row>
    <row r="77" spans="1:11" ht="17" thickBot="1">
      <c r="B77" s="23" t="s">
        <v>269</v>
      </c>
      <c r="I77" s="107">
        <f>(I70+I14)*0.025</f>
        <v>53.474556250000006</v>
      </c>
      <c r="K77" s="54"/>
    </row>
    <row r="78" spans="1:11" ht="17" thickBot="1">
      <c r="D78" s="4" t="s">
        <v>267</v>
      </c>
      <c r="I78" s="113">
        <f>+SUM(I75:I77)</f>
        <v>181.81349125</v>
      </c>
    </row>
    <row r="79" spans="1:11" ht="17" thickBot="1">
      <c r="D79" s="23" t="s">
        <v>25</v>
      </c>
      <c r="I79" s="108">
        <f>I71-SUM(I74:I77)</f>
        <v>315.58425875000012</v>
      </c>
      <c r="K79" s="54"/>
    </row>
    <row r="80" spans="1:11">
      <c r="D80" s="23"/>
      <c r="I80" s="105"/>
      <c r="K80" s="54"/>
    </row>
    <row r="81" spans="1:13">
      <c r="B81" s="23" t="s">
        <v>104</v>
      </c>
      <c r="H81" s="105">
        <f>(I70+I50+I78)/D12</f>
        <v>156.79826723214288</v>
      </c>
      <c r="I81" s="4" t="s">
        <v>103</v>
      </c>
    </row>
    <row r="82" spans="1:13" ht="16" customHeight="1">
      <c r="E82" s="7" t="s">
        <v>52</v>
      </c>
      <c r="F82" s="141">
        <f>G54</f>
        <v>250</v>
      </c>
      <c r="G82" s="23" t="s">
        <v>53</v>
      </c>
      <c r="K82" s="29" t="s">
        <v>365</v>
      </c>
      <c r="L82" s="29"/>
      <c r="M82" s="29"/>
    </row>
    <row r="83" spans="1:13">
      <c r="A83" s="7"/>
      <c r="B83" s="7"/>
      <c r="C83" s="7"/>
      <c r="D83" s="141"/>
      <c r="F83" s="7" t="s">
        <v>102</v>
      </c>
      <c r="G83" s="11">
        <f>(SUM(I55:I69)+SUM(I75:I77))/(E49-E54)</f>
        <v>67.256534464285707</v>
      </c>
      <c r="H83" s="23" t="s">
        <v>123</v>
      </c>
      <c r="I83" s="23"/>
      <c r="K83" s="29" t="s">
        <v>366</v>
      </c>
      <c r="L83" s="29"/>
      <c r="M83" s="29"/>
    </row>
    <row r="84" spans="1:13">
      <c r="B84" s="23" t="s">
        <v>105</v>
      </c>
      <c r="H84" s="45">
        <f>(I51-(SUM(I55:I69)+SUM(I75:I77)))/E54</f>
        <v>295.08346553571431</v>
      </c>
      <c r="I84" s="4" t="s">
        <v>103</v>
      </c>
      <c r="K84" s="29"/>
      <c r="L84" s="29"/>
      <c r="M84" s="29"/>
    </row>
    <row r="85" spans="1:13">
      <c r="E85" s="7" t="s">
        <v>57</v>
      </c>
      <c r="F85" s="141">
        <f>G49</f>
        <v>183</v>
      </c>
      <c r="G85" s="23" t="s">
        <v>53</v>
      </c>
    </row>
    <row r="86" spans="1:13">
      <c r="B86" s="7"/>
      <c r="C86" s="7"/>
      <c r="D86" s="7"/>
      <c r="E86" s="7"/>
      <c r="F86" s="141"/>
      <c r="G86" s="23"/>
    </row>
    <row r="87" spans="1:13">
      <c r="A87" s="26" t="s">
        <v>108</v>
      </c>
    </row>
    <row r="88" spans="1:13" ht="15" customHeight="1">
      <c r="B88" s="179"/>
      <c r="C88" s="183" t="s">
        <v>65</v>
      </c>
      <c r="D88" s="183"/>
      <c r="E88" s="183"/>
      <c r="F88" s="183"/>
      <c r="G88" s="183"/>
      <c r="H88" s="183"/>
    </row>
    <row r="89" spans="1:13" ht="51">
      <c r="A89" s="179"/>
      <c r="B89" s="180" t="s">
        <v>107</v>
      </c>
      <c r="C89" s="142">
        <f>E89-8</f>
        <v>175</v>
      </c>
      <c r="D89" s="142">
        <f>E89-4</f>
        <v>179</v>
      </c>
      <c r="E89" s="142">
        <f>$G$49</f>
        <v>183</v>
      </c>
      <c r="F89" s="142">
        <f>E89+4</f>
        <v>187</v>
      </c>
      <c r="G89" s="142">
        <f>E89+8</f>
        <v>191</v>
      </c>
      <c r="H89" s="142">
        <f>E89+12</f>
        <v>195</v>
      </c>
    </row>
    <row r="90" spans="1:13">
      <c r="B90" s="143">
        <f>B92-10</f>
        <v>240</v>
      </c>
      <c r="C90" s="105">
        <f>(($E$49*C89)-($E$50/100*$E$49*C89))-(($E$54*B90)+SUM($I$55:$I$69)+SUM($I$75:$I$77))</f>
        <v>274.70425875000001</v>
      </c>
      <c r="D90" s="105">
        <f>(($E$49*D89)-($E$50/100*$E$49*D89))-(($E$54*B90)+SUM($I$55:$I$69)+SUM($I$75:$I$77))</f>
        <v>330.14425875000006</v>
      </c>
      <c r="E90" s="105">
        <f>(($E$49*E89)-($E$50/100*$E$49*E89))-(($E$54*B90)+SUM($I$55:$I$69)+SUM($I$75:$I$77))</f>
        <v>385.58425875000012</v>
      </c>
      <c r="F90" s="105">
        <f>(($E$49*F89)-($E$50/100*$E$49*F89))-(($E$54*B90)+SUM($I$55:$I$69)+SUM($I$75:$I$77))</f>
        <v>441.02425875000017</v>
      </c>
      <c r="G90" s="105">
        <f>(($E$49*G89)-($E$50/100*$E$49*G89))-(($E$54*B90)+SUM($I$55:$I$69)+SUM($I$75:$I$77))</f>
        <v>496.46425875000023</v>
      </c>
      <c r="H90" s="105">
        <f>(($E$49*H89)-($E$50/100*$E$49*H89))-(($E$54*B90)+SUM($I$55:$I$69)+SUM($I$75:$I$77))</f>
        <v>551.90425874999983</v>
      </c>
    </row>
    <row r="91" spans="1:13">
      <c r="B91" s="143">
        <f>B92-5</f>
        <v>245</v>
      </c>
      <c r="C91" s="105">
        <f>(($E$49*C89)-($E$50/100*$E$49*C89))-(($E$54*B91)+SUM($I$55:$I$69)+SUM($I$75:$I$77))</f>
        <v>239.70425875000001</v>
      </c>
      <c r="D91" s="105">
        <f>(($E$49*D89)-($E$50/100*$E$49*D89))-(($E$54*B91)+SUM($I$55:$I$69)+SUM($I$75:$I$77))</f>
        <v>295.14425875000006</v>
      </c>
      <c r="E91" s="105">
        <f>(($E$49*E89)-($E$50/100*$E$49*E89))-(($E$54*B91)+SUM($I$55:$I$69)+SUM($I$75:$I$77))</f>
        <v>350.58425875000012</v>
      </c>
      <c r="F91" s="105">
        <f>(($E$49*F89)-($E$50/100*$E$49*F89))-(($E$54*B91)+SUM($I$55:$I$69)+SUM($I$75:$I$77))</f>
        <v>406.02425875000017</v>
      </c>
      <c r="G91" s="105">
        <f>(($E$49*G89)-($E$50/100*$E$49*G89))-(($E$54*B91)+SUM($I$55:$I$69)+SUM($I$75:$I$77))</f>
        <v>461.46425875000023</v>
      </c>
      <c r="H91" s="105">
        <f>(($E$49*H89)-($E$50/100*$E$49*H89))-(($E$54*B91)+SUM($I$55:$I$69)+SUM($I$75:$I$77))</f>
        <v>516.90425874999983</v>
      </c>
    </row>
    <row r="92" spans="1:13">
      <c r="B92" s="143">
        <f>$G$54</f>
        <v>250</v>
      </c>
      <c r="C92" s="105">
        <f>(($E$49*C89)-($E$50/100*$E$49*C89))-(($E$54*B92)+SUM($I$55:$I$69)+SUM($I$75:$I$77))</f>
        <v>204.70425875000001</v>
      </c>
      <c r="D92" s="105">
        <f>(($E$49*D89)-($E$50/100*$E$49*D89))-(($E$54*B92)+SUM($I$55:$I$69)+SUM($I$75:$I$77))</f>
        <v>260.14425875000006</v>
      </c>
      <c r="E92" s="105">
        <f>(($E$49*E89)-($E$50/100*$E$49*E89))-(($E$54*B92)+SUM($I$55:$I$69)+SUM($I$75:$I$77))</f>
        <v>315.58425875000012</v>
      </c>
      <c r="F92" s="105">
        <f>(($E$49*F89)-($E$50/100*$E$49*F89))-(($E$54*B92)+SUM($I$55:$I$69)+SUM($I$75:$I$77))</f>
        <v>371.02425875000017</v>
      </c>
      <c r="G92" s="105">
        <f>(($E$49*G89)-($E$50/100*$E$49*G89))-(($E$54*B92)+SUM($I$55:$I$69)+SUM($I$75:$I$77))</f>
        <v>426.46425875000023</v>
      </c>
      <c r="H92" s="105">
        <f>(($E$49*H89)-($E$50/100*$E$49*H89))-(($E$54*B92)+SUM($I$55:$I$69)+SUM($I$75:$I$77))</f>
        <v>481.90425874999983</v>
      </c>
    </row>
    <row r="93" spans="1:13">
      <c r="B93" s="143">
        <f>B92+5</f>
        <v>255</v>
      </c>
      <c r="C93" s="105">
        <f>(($E$49*C89)-($E$50/100*$E$49*C89))-(($E$54*B93)+SUM($I$55:$I$69)+SUM($I$75:$I$77))</f>
        <v>169.70425875000001</v>
      </c>
      <c r="D93" s="105">
        <f>(($E$49*D89)-($E$50/100*$E$49*D89))-(($E$54*B93)+SUM($I$55:$I$69)+SUM($I$75:$I$77))</f>
        <v>225.14425875000006</v>
      </c>
      <c r="E93" s="105">
        <f>(($E$49*E89)-($E$50/100*$E$49*E89))-(($E$54*B93)+SUM($I$55:$I$69)+SUM($I$75:$I$77))</f>
        <v>280.58425875000012</v>
      </c>
      <c r="F93" s="105">
        <f>(($E$49*F89)-($E$50/100*$E$49*F89))-(($E$54*B93)+SUM($I$55:$I$69)+SUM($I$75:$I$77))</f>
        <v>336.02425875000017</v>
      </c>
      <c r="G93" s="105">
        <f>(($E$49*G89)-($E$50/100*$E$49*G89))-(($E$54*B93)+SUM($I$55:$I$69)+SUM($I$75:$I$77))</f>
        <v>391.46425875000023</v>
      </c>
      <c r="H93" s="105">
        <f>(($E$49*H89)-($E$50/100*$E$49*H89))-(($E$54*B93)+SUM($I$55:$I$69)+SUM($I$75:$I$77))</f>
        <v>446.90425874999983</v>
      </c>
    </row>
    <row r="94" spans="1:13">
      <c r="B94" s="143">
        <f>B92+10</f>
        <v>260</v>
      </c>
      <c r="C94" s="105">
        <f>(($E$49*C89)-($E$50/100*$E$49*C89))-(($E$54*B94)+SUM($I$55:$I$69)+SUM($I$75:$I$77))</f>
        <v>134.70425875000001</v>
      </c>
      <c r="D94" s="105">
        <f>(($E$49*D89)-($E$50/100*$E$49*D89))-(($E$54*B94)+SUM($I$55:$I$69)+SUM($I$75:$I$77))</f>
        <v>190.14425875000006</v>
      </c>
      <c r="E94" s="105">
        <f>(($E$49*E89)-($E$50/100*$E$49*E89))-(($E$54*B94)+SUM($I$55:$I$69)+SUM($I$75:$I$77))</f>
        <v>245.58425875000012</v>
      </c>
      <c r="F94" s="105">
        <f>(($E$49*F89)-($E$50/100*$E$49*F89))-(($E$54*B94)+SUM($I$55:$I$69)+SUM($I$75:$I$77))</f>
        <v>301.02425875000017</v>
      </c>
      <c r="G94" s="105">
        <f>(($E$49*G89)-($E$50/100*$E$49*G89))-(($E$54*B94)+SUM($I$55:$I$69)+SUM($I$75:$I$77))</f>
        <v>356.46425875000023</v>
      </c>
      <c r="H94" s="105">
        <f>(($E$49*H89)-($E$50/100*$E$49*H89))-(($E$54*B94)+SUM($I$55:$I$69)+SUM($I$75:$I$77))</f>
        <v>411.90425874999983</v>
      </c>
    </row>
    <row r="96" spans="1:13">
      <c r="A96" s="118" t="s">
        <v>108</v>
      </c>
    </row>
    <row r="97" spans="1:8">
      <c r="B97" s="115"/>
      <c r="C97" s="45" t="s">
        <v>66</v>
      </c>
      <c r="D97" s="45"/>
      <c r="E97" s="105">
        <f>$G$54</f>
        <v>250</v>
      </c>
      <c r="F97" s="106" t="s">
        <v>60</v>
      </c>
    </row>
    <row r="98" spans="1:8" ht="15" customHeight="1">
      <c r="B98" s="179"/>
    </row>
    <row r="99" spans="1:8" ht="34">
      <c r="A99" s="179"/>
      <c r="B99" s="182" t="s">
        <v>106</v>
      </c>
      <c r="C99" s="142">
        <f>E99-8</f>
        <v>175</v>
      </c>
      <c r="D99" s="142">
        <f>E99-4</f>
        <v>179</v>
      </c>
      <c r="E99" s="142">
        <f>$G$49</f>
        <v>183</v>
      </c>
      <c r="F99" s="142">
        <f>E99+4</f>
        <v>187</v>
      </c>
      <c r="G99" s="142">
        <f>E99+8</f>
        <v>191</v>
      </c>
      <c r="H99" s="142">
        <f>E99+12</f>
        <v>195</v>
      </c>
    </row>
    <row r="100" spans="1:8">
      <c r="B100" s="144">
        <f>B102-0.1</f>
        <v>0.57256534464285713</v>
      </c>
      <c r="C100" s="105">
        <f>(($E$49*C99)-($E$50/100*$E$49*C99))-($I$54+(B100*100*($E$49-$E$54)))</f>
        <v>274.70425875000001</v>
      </c>
      <c r="D100" s="105">
        <f>(($E$49*D99)-($E$50/100*$E$49*D99))-($I$54+(B100*100*($E$49-$E$54)))</f>
        <v>330.14425875000006</v>
      </c>
      <c r="E100" s="105">
        <f>(($E$49*E99)-($E$50/100*$E$49*E99))-($I$54+(B100*100*($E$49-$E$54)))</f>
        <v>385.58425875000012</v>
      </c>
      <c r="F100" s="105">
        <f>(($E$49*F99)-($E$50/100*$E$49*F99))-($I$54+(B100*100*($E$49-$E$54)))</f>
        <v>441.02425875000017</v>
      </c>
      <c r="G100" s="105">
        <f>(($E$49*G99)-($E$50/100*$E$49*G99))-($I$54+(B100*100*($E$49-$E$54)))</f>
        <v>496.46425875000023</v>
      </c>
      <c r="H100" s="105">
        <f>(($E$49*H99)-($E$50/100*$E$49*H99))-($I$54+(B100*100*($E$49-$E$54)))</f>
        <v>551.90425874999983</v>
      </c>
    </row>
    <row r="101" spans="1:8">
      <c r="B101" s="144">
        <f>B102-0.05</f>
        <v>0.62256534464285707</v>
      </c>
      <c r="C101" s="105">
        <f>(($E$49*C99)-($E$50/100*$E$49*C99))-($I$54+(B101*100*($E$49-$E$54)))</f>
        <v>239.70425875000001</v>
      </c>
      <c r="D101" s="105">
        <f>(($E$49*D99)-($E$50/100*$E$49*D99))-($I$54+(B101*100*($E$49-$E$54)))</f>
        <v>295.14425875000006</v>
      </c>
      <c r="E101" s="105">
        <f>(($E$49*E99)-($E$50/100*$E$49*E99))-($I$54+(B101*100*($E$49-$E$54)))</f>
        <v>350.58425875000012</v>
      </c>
      <c r="F101" s="105">
        <f>(($E$49*F99)-($E$50/100*$E$49*F99))-($I$54+(B101*100*($E$49-$E$54)))</f>
        <v>406.02425875000017</v>
      </c>
      <c r="G101" s="105">
        <f>(($E$49*G99)-($E$50/100*$E$49*G99))-($I$54+(B101*100*($E$49-$E$54)))</f>
        <v>461.46425875000023</v>
      </c>
      <c r="H101" s="105">
        <f>(($E$49*H99)-($E$50/100*$E$49*H99))-($I$54+(B101*100*($E$49-$E$54)))</f>
        <v>516.90425874999983</v>
      </c>
    </row>
    <row r="102" spans="1:8">
      <c r="B102" s="144">
        <f>$G$83/100</f>
        <v>0.67256534464285711</v>
      </c>
      <c r="C102" s="105">
        <f>(($E$49*C99)-($E$50/100*$E$49*C99))-($I$54+(B102*100*($E$49-$E$54)))</f>
        <v>204.70425875000001</v>
      </c>
      <c r="D102" s="105">
        <f>(($E$49*D99)-($E$50/100*$E$49*D99))-($I$54+(B102*100*($E$49-$E$54)))</f>
        <v>260.14425875000006</v>
      </c>
      <c r="E102" s="105">
        <f>(($E$49*E99)-($E$50/100*$E$49*E99))-($I$54+(B102*100*($E$49-$E$54)))</f>
        <v>315.58425875000012</v>
      </c>
      <c r="F102" s="105">
        <f>(($E$49*F99)-($E$50/100*$E$49*F99))-($I$54+(B102*100*($E$49-$E$54)))</f>
        <v>371.02425875000017</v>
      </c>
      <c r="G102" s="105">
        <f>(($E$49*G99)-($E$50/100*$E$49*G99))-($I$54+(B102*100*($E$49-$E$54)))</f>
        <v>426.46425875000023</v>
      </c>
      <c r="H102" s="105">
        <f>(($E$49*H99)-($E$50/100*$E$49*H99))-($I$54+(B102*100*($E$49-$E$54)))</f>
        <v>481.90425874999983</v>
      </c>
    </row>
    <row r="103" spans="1:8">
      <c r="B103" s="144">
        <f>B102+0.05</f>
        <v>0.72256534464285715</v>
      </c>
      <c r="C103" s="105">
        <f>(($E$49*C99)-($E$50/100*$E$49*C99))-($I$54+(B103*100*($E$49-$E$54)))</f>
        <v>169.70425875000001</v>
      </c>
      <c r="D103" s="105">
        <f>(($E$49*D99)-($E$50/100*$E$49*D99))-($I$54+(B103*100*($E$49-$E$54)))</f>
        <v>225.14425875000006</v>
      </c>
      <c r="E103" s="105">
        <f>(($E$49*E99)-($E$50/100*$E$49*E99))-($I$54+(B103*100*($E$49-$E$54)))</f>
        <v>280.58425875000012</v>
      </c>
      <c r="F103" s="105">
        <f>(($E$49*F99)-($E$50/100*$E$49*F99))-($I$54+(B103*100*($E$49-$E$54)))</f>
        <v>336.02425875000017</v>
      </c>
      <c r="G103" s="105">
        <f>(($E$49*G99)-($E$50/100*$E$49*G99))-($I$54+(B103*100*($E$49-$E$54)))</f>
        <v>391.46425875000023</v>
      </c>
      <c r="H103" s="105">
        <f>(($E$49*H99)-($E$50/100*$E$49*H99))-($I$54+(B103*100*($E$49-$E$54)))</f>
        <v>446.90425874999983</v>
      </c>
    </row>
    <row r="104" spans="1:8">
      <c r="B104" s="144">
        <f>B102+0.1</f>
        <v>0.77256534464285709</v>
      </c>
      <c r="C104" s="105">
        <f>(($E$49*C99)-($E$50/100*$E$49*C99))-($I$54+(B104*100*($E$49-$E$54)))</f>
        <v>134.70425875000001</v>
      </c>
      <c r="D104" s="105">
        <f>(($E$49*D99)-($E$50/100*$E$49*D99))-($I$54+(B104*100*($E$49-$E$54)))</f>
        <v>190.14425875000006</v>
      </c>
      <c r="E104" s="105">
        <f>(($E$49*E99)-($E$50/100*$E$49*E99))-($I$54+(B104*100*($E$49-$E$54)))</f>
        <v>245.58425875000012</v>
      </c>
      <c r="F104" s="105">
        <f>(($E$49*F99)-($E$50/100*$E$49*F99))-($I$54+(B104*100*($E$49-$E$54)))</f>
        <v>301.02425875000017</v>
      </c>
      <c r="G104" s="105">
        <f>(($E$49*G99)-($E$50/100*$E$49*G99))-($I$54+(B104*100*($E$49-$E$54)))</f>
        <v>356.46425875000023</v>
      </c>
      <c r="H104" s="105">
        <f>(($E$49*H99)-($E$50/100*$E$49*H99))-($I$54+(B104*100*($E$49-$E$54)))</f>
        <v>411.90425874999983</v>
      </c>
    </row>
    <row r="106" spans="1:8">
      <c r="A106" s="118" t="s">
        <v>108</v>
      </c>
    </row>
    <row r="107" spans="1:8">
      <c r="B107" s="115"/>
      <c r="C107" s="45" t="s">
        <v>66</v>
      </c>
      <c r="D107" s="45"/>
      <c r="E107" s="105">
        <f>$G$54+10</f>
        <v>260</v>
      </c>
      <c r="F107" s="106" t="s">
        <v>60</v>
      </c>
    </row>
    <row r="108" spans="1:8" ht="15" customHeight="1">
      <c r="B108" s="179"/>
    </row>
    <row r="109" spans="1:8" ht="34">
      <c r="A109" s="179"/>
      <c r="B109" s="182" t="s">
        <v>106</v>
      </c>
      <c r="C109" s="142">
        <f>E109-8</f>
        <v>175</v>
      </c>
      <c r="D109" s="142">
        <f>E109-4</f>
        <v>179</v>
      </c>
      <c r="E109" s="142">
        <f>$G$49</f>
        <v>183</v>
      </c>
      <c r="F109" s="142">
        <f>E109+4</f>
        <v>187</v>
      </c>
      <c r="G109" s="142">
        <f>F109+4</f>
        <v>191</v>
      </c>
      <c r="H109" s="142">
        <f>G109+4</f>
        <v>195</v>
      </c>
    </row>
    <row r="110" spans="1:8">
      <c r="B110" s="144">
        <f>B112-0.1</f>
        <v>0.57256534464285713</v>
      </c>
      <c r="C110" s="105">
        <f>(($E$49*C109)-($E$50/100*$E$49*C109))-($E$54*$E$107+(B110*100*($E$49-$E$54)))</f>
        <v>204.70425875000001</v>
      </c>
      <c r="D110" s="105">
        <f>(($E$49*D109)-($E$50/100*$E$49*D109))-($E$54*$E$107+(B110*100*($E$49-$E$54)))</f>
        <v>260.14425875000006</v>
      </c>
      <c r="E110" s="105">
        <f>(($E$49*E109)-($E$50/100*$E$49*E109))-($E$54*$E$107+(B110*100*($E$49-$E$54)))</f>
        <v>315.58425875000012</v>
      </c>
      <c r="F110" s="105">
        <f>(($E$49*F109)-($E$50/100*$E$49*F109))-($E$54*$E$107+(B110*100*($E$49-$E$54)))</f>
        <v>371.02425875000017</v>
      </c>
      <c r="G110" s="105">
        <f>(($E$49*G109)-($E$50/100*$E$49*G109))-($E$54*$E$107+(B110*100*($E$49-$E$54)))</f>
        <v>426.46425875000023</v>
      </c>
      <c r="H110" s="105">
        <f>(($E$49*H109)-($E$50/100*$E$49*H109))-($E$54*$E$107+(B110*100*($E$49-$E$54)))</f>
        <v>481.90425874999983</v>
      </c>
    </row>
    <row r="111" spans="1:8">
      <c r="B111" s="144">
        <f>B112-0.05</f>
        <v>0.62256534464285707</v>
      </c>
      <c r="C111" s="105">
        <f>(($E$49*C109)-($E$50/100*$E$49*C109))-($E$54*$E$107+(B111*100*($E$49-$E$54)))</f>
        <v>169.70425875000001</v>
      </c>
      <c r="D111" s="105">
        <f>(($E$49*D109)-($E$50/100*$E$49*D109))-($E$54*$E$107+(B111*100*($E$49-$E$54)))</f>
        <v>225.14425875000006</v>
      </c>
      <c r="E111" s="105">
        <f>(($E$49*E109)-($E$50/100*$E$49*E109))-($E$54*$E$107+(B111*100*($E$49-$E$54)))</f>
        <v>280.58425875000012</v>
      </c>
      <c r="F111" s="105">
        <f>(($E$49*F109)-($E$50/100*$E$49*F109))-($E$54*$E$107+(B111*100*($E$49-$E$54)))</f>
        <v>336.02425875000017</v>
      </c>
      <c r="G111" s="105">
        <f>(($E$49*G109)-($E$50/100*$E$49*G109))-($E$54*$E$107+(B111*100*($E$49-$E$54)))</f>
        <v>391.46425875000023</v>
      </c>
      <c r="H111" s="105">
        <f>(($E$49*H109)-($E$50/100*$E$49*H109))-($E$54*$E$107+(B111*100*($E$49-$E$54)))</f>
        <v>446.90425874999983</v>
      </c>
    </row>
    <row r="112" spans="1:8">
      <c r="B112" s="144">
        <f>$G$83/100</f>
        <v>0.67256534464285711</v>
      </c>
      <c r="C112" s="105">
        <f>(($E$49*C109)-($E$50/100*$E$49*C109))-($E$54*$E$107+(B112*100*($E$49-$E$54)))</f>
        <v>134.70425875000001</v>
      </c>
      <c r="D112" s="105">
        <f>(($E$49*D109)-($E$50/100*$E$49*D109))-($E$54*$E$107+(B112*100*($E$49-$E$54)))</f>
        <v>190.14425875000006</v>
      </c>
      <c r="E112" s="105">
        <f>(($E$49*E109)-($E$50/100*$E$49*E109))-($E$54*$E$107+(B112*100*($E$49-$E$54)))</f>
        <v>245.58425875000012</v>
      </c>
      <c r="F112" s="105">
        <f>(($E$49*F109)-($E$50/100*$E$49*F109))-($E$54*$E$107+(B112*100*($E$49-$E$54)))</f>
        <v>301.02425875000017</v>
      </c>
      <c r="G112" s="105">
        <f>(($E$49*G109)-($E$50/100*$E$49*G109))-($E$54*$E$107+(B112*100*($E$49-$E$54)))</f>
        <v>356.46425875000023</v>
      </c>
      <c r="H112" s="105">
        <f>(($E$49*H109)-($E$50/100*$E$49*H109))-($E$54*$E$107+(B112*100*($E$49-$E$54)))</f>
        <v>411.90425874999983</v>
      </c>
    </row>
    <row r="113" spans="1:9">
      <c r="B113" s="144">
        <f>B112+0.05</f>
        <v>0.72256534464285715</v>
      </c>
      <c r="C113" s="105">
        <f>(($E$49*C109)-($E$50/100*$E$49*C109))-($E$54*$E$107+(B113*100*($E$49-$E$54)))</f>
        <v>99.704258750000008</v>
      </c>
      <c r="D113" s="105">
        <f>(($E$49*D109)-($E$50/100*$E$49*D109))-($E$54*$E$107+(B113*100*($E$49-$E$54)))</f>
        <v>155.14425875000006</v>
      </c>
      <c r="E113" s="105">
        <f>(($E$49*E109)-($E$50/100*$E$49*E109))-($E$54*$E$107+(B113*100*($E$49-$E$54)))</f>
        <v>210.58425875000012</v>
      </c>
      <c r="F113" s="105">
        <f>(($E$49*F109)-($E$50/100*$E$49*F109))-($E$54*$E$107+(B113*100*($E$49-$E$54)))</f>
        <v>266.02425875000017</v>
      </c>
      <c r="G113" s="105">
        <f>(($E$49*G109)-($E$50/100*$E$49*G109))-($E$54*$E$107+(B113*100*($E$49-$E$54)))</f>
        <v>321.46425875000023</v>
      </c>
      <c r="H113" s="105">
        <f>(($E$49*H109)-($E$50/100*$E$49*H109))-($E$54*$E$107+(B113*100*($E$49-$E$54)))</f>
        <v>376.90425874999983</v>
      </c>
    </row>
    <row r="114" spans="1:9">
      <c r="B114" s="144">
        <f>B112+0.1</f>
        <v>0.77256534464285709</v>
      </c>
      <c r="C114" s="105">
        <f>(($E$49*C109)-($E$50/100*$E$49*C109))-($E$54*$E$107+(B114*100*($E$49-$E$54)))</f>
        <v>64.704258750000008</v>
      </c>
      <c r="D114" s="105">
        <f>(($E$49*D109)-($E$50/100*$E$49*D109))-($E$54*$E$107+(B114*100*($E$49-$E$54)))</f>
        <v>120.14425875000006</v>
      </c>
      <c r="E114" s="105">
        <f>(($E$49*E109)-($E$50/100*$E$49*E109))-($E$54*$E$107+(B114*100*($E$49-$E$54)))</f>
        <v>175.58425875000012</v>
      </c>
      <c r="F114" s="105">
        <f>(($E$49*F109)-($E$50/100*$E$49*F109))-($E$54*$E$107+(B114*100*($E$49-$E$54)))</f>
        <v>231.02425875000017</v>
      </c>
      <c r="G114" s="105">
        <f>(($E$49*G109)-($E$50/100*$E$49*G109))-($E$54*$E$107+(B114*100*($E$49-$E$54)))</f>
        <v>286.46425875000023</v>
      </c>
      <c r="H114" s="105">
        <f>(($E$49*H109)-($E$50/100*$E$49*H109))-($E$54*$E$107+(B114*100*($E$49-$E$54)))</f>
        <v>341.90425874999983</v>
      </c>
    </row>
    <row r="116" spans="1:9">
      <c r="D116" s="23"/>
      <c r="G116" s="45"/>
    </row>
    <row r="117" spans="1:9">
      <c r="A117" s="5"/>
      <c r="B117" s="5"/>
      <c r="C117" s="5"/>
      <c r="D117" s="5"/>
      <c r="E117" s="5"/>
      <c r="F117" s="5"/>
      <c r="G117" s="5"/>
      <c r="H117" s="5"/>
      <c r="I117" s="5"/>
    </row>
    <row r="118" spans="1:9">
      <c r="A118" s="5"/>
      <c r="B118" s="5"/>
      <c r="C118" s="5"/>
      <c r="D118" s="5"/>
      <c r="E118" s="5"/>
      <c r="F118" s="5"/>
      <c r="G118" s="5"/>
      <c r="H118" s="5"/>
      <c r="I118" s="5"/>
    </row>
    <row r="119" spans="1:9">
      <c r="A119" s="127"/>
      <c r="B119" s="127"/>
      <c r="C119" s="127"/>
      <c r="D119" s="127"/>
      <c r="E119" s="127"/>
      <c r="F119" s="127"/>
      <c r="G119" s="127"/>
      <c r="H119" s="127"/>
      <c r="I119" s="127"/>
    </row>
    <row r="120" spans="1:9">
      <c r="A120" s="127"/>
      <c r="B120" s="146"/>
      <c r="C120" s="146"/>
      <c r="D120" s="146"/>
      <c r="E120" s="146"/>
      <c r="F120" s="146"/>
      <c r="G120" s="146"/>
      <c r="H120" s="146"/>
      <c r="I120" s="146"/>
    </row>
    <row r="121" spans="1:9">
      <c r="G121" s="45"/>
    </row>
    <row r="122" spans="1:9">
      <c r="A122" s="5"/>
      <c r="B122" s="5"/>
      <c r="C122" s="5"/>
      <c r="D122" s="5"/>
      <c r="E122" s="5"/>
      <c r="F122" s="5"/>
      <c r="G122" s="5"/>
      <c r="H122" s="5"/>
      <c r="I122" s="5"/>
    </row>
    <row r="123" spans="1:9">
      <c r="A123" s="5"/>
      <c r="B123" s="5"/>
      <c r="C123" s="5"/>
      <c r="D123" s="5"/>
      <c r="E123" s="5"/>
      <c r="F123" s="5"/>
      <c r="G123" s="5"/>
      <c r="H123" s="5"/>
      <c r="I123" s="5"/>
    </row>
    <row r="124" spans="1:9">
      <c r="A124" s="23"/>
    </row>
    <row r="135" spans="1:1">
      <c r="A135" s="23"/>
    </row>
    <row r="136" spans="1:1">
      <c r="A136" s="23"/>
    </row>
    <row r="138" spans="1:1">
      <c r="A138" s="23"/>
    </row>
    <row r="139" spans="1:1">
      <c r="A139" s="23"/>
    </row>
    <row r="141" spans="1:1">
      <c r="A141" s="23"/>
    </row>
    <row r="142" spans="1:1">
      <c r="A142" s="23"/>
    </row>
    <row r="144" spans="1:1">
      <c r="A144" s="23"/>
    </row>
    <row r="145" spans="1:1">
      <c r="A145" s="23"/>
    </row>
    <row r="147" spans="1:1">
      <c r="A147" s="23"/>
    </row>
    <row r="148" spans="1:1">
      <c r="A148" s="23"/>
    </row>
    <row r="150" spans="1:1">
      <c r="A150" s="23"/>
    </row>
    <row r="151" spans="1:1">
      <c r="A151" s="23"/>
    </row>
    <row r="152" spans="1:1">
      <c r="A152" s="23"/>
    </row>
  </sheetData>
  <sheetProtection algorithmName="SHA-512" hashValue="MG5i2+a9qTO1LXK1OXu1N6hOzjXAAr6460yM9yBI9qfYbU6JgKoydUG+MtQVaywG3vTd03OGYNIeEZJ+od210A==" saltValue="dkti1w6vBaxJvNeQzpEPcg==" spinCount="100000" sheet="1" objects="1" scenarios="1"/>
  <phoneticPr fontId="2" type="noConversion"/>
  <conditionalFormatting sqref="C90:H94 C100:H104">
    <cfRule type="colorScale" priority="4">
      <colorScale>
        <cfvo type="num" val="-10"/>
        <cfvo type="num" val="20"/>
        <cfvo type="num" val="50"/>
        <color rgb="FFF8696B"/>
        <color rgb="FFFFEB84"/>
        <color rgb="FF63BE7B"/>
      </colorScale>
    </cfRule>
  </conditionalFormatting>
  <conditionalFormatting sqref="C110:H114">
    <cfRule type="colorScale" priority="1">
      <colorScale>
        <cfvo type="num" val="-10"/>
        <cfvo type="num" val="20"/>
        <cfvo type="num" val="50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1">
    <cfRule type="iconSet" priority="5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A44"/>
  </sheetPr>
  <dimension ref="A2:N143"/>
  <sheetViews>
    <sheetView workbookViewId="0">
      <selection activeCell="C6" sqref="C6"/>
    </sheetView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33203125" customWidth="1"/>
    <col min="11" max="12" width="10.6640625" style="4" customWidth="1"/>
    <col min="13" max="13" width="10.83203125" style="4" customWidth="1"/>
    <col min="14" max="17" width="10.6640625" style="4" customWidth="1"/>
    <col min="18" max="16384" width="17.1640625" style="4"/>
  </cols>
  <sheetData>
    <row r="2" spans="1:11" ht="20" customHeight="1">
      <c r="A2" s="192" t="s">
        <v>310</v>
      </c>
      <c r="B2" s="189"/>
      <c r="C2" s="189"/>
      <c r="D2" s="189"/>
      <c r="E2" s="189"/>
      <c r="F2" s="189"/>
    </row>
    <row r="3" spans="1:11" ht="20" customHeight="1">
      <c r="A3" s="192" t="s">
        <v>367</v>
      </c>
      <c r="B3" s="189"/>
      <c r="C3" s="189"/>
      <c r="D3" s="189"/>
      <c r="E3" s="189"/>
      <c r="F3" s="189"/>
    </row>
    <row r="4" spans="1:11" ht="16" customHeight="1">
      <c r="A4" s="188"/>
      <c r="B4" s="188"/>
      <c r="C4" s="188"/>
      <c r="D4" s="188"/>
      <c r="E4" s="188"/>
      <c r="F4" s="188"/>
    </row>
    <row r="5" spans="1:11" ht="16" customHeight="1">
      <c r="A5" s="188"/>
      <c r="B5" s="188"/>
      <c r="C5" s="188"/>
      <c r="D5" s="188"/>
      <c r="E5" s="188"/>
      <c r="F5" s="188"/>
    </row>
    <row r="6" spans="1:11" ht="16" customHeight="1">
      <c r="A6" s="188"/>
      <c r="B6" s="188"/>
      <c r="C6" s="188"/>
      <c r="D6" s="188"/>
      <c r="E6" s="188"/>
      <c r="F6" s="188"/>
    </row>
    <row r="7" spans="1:11">
      <c r="A7" s="178">
        <f>+'Step 1 - Feed Cost Input Sheet '!F23</f>
        <v>45229</v>
      </c>
      <c r="B7" s="178"/>
    </row>
    <row r="9" spans="1:11" ht="17" thickBot="1">
      <c r="A9" s="26" t="s">
        <v>282</v>
      </c>
    </row>
    <row r="10" spans="1:11" s="27" customFormat="1" ht="17" thickBot="1">
      <c r="A10" s="24" t="s">
        <v>0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24" t="s">
        <v>304</v>
      </c>
      <c r="J10"/>
    </row>
    <row r="11" spans="1:11">
      <c r="A11" s="26" t="s">
        <v>3</v>
      </c>
      <c r="E11" s="28" t="s">
        <v>4</v>
      </c>
      <c r="F11" s="26" t="s">
        <v>9</v>
      </c>
    </row>
    <row r="12" spans="1:11">
      <c r="A12" s="23" t="s">
        <v>295</v>
      </c>
      <c r="D12" s="12">
        <v>11</v>
      </c>
      <c r="E12" s="28" t="s">
        <v>4</v>
      </c>
      <c r="F12" s="23" t="s">
        <v>85</v>
      </c>
      <c r="I12" s="12">
        <v>6</v>
      </c>
      <c r="K12" s="155" t="s">
        <v>5</v>
      </c>
    </row>
    <row r="13" spans="1:11">
      <c r="A13" s="23" t="s">
        <v>296</v>
      </c>
      <c r="D13" s="152">
        <v>207</v>
      </c>
      <c r="E13" s="28" t="s">
        <v>4</v>
      </c>
      <c r="F13" s="23" t="s">
        <v>86</v>
      </c>
      <c r="I13" s="152">
        <v>6</v>
      </c>
      <c r="K13" s="155" t="s">
        <v>6</v>
      </c>
    </row>
    <row r="14" spans="1:11">
      <c r="A14" s="23" t="s">
        <v>297</v>
      </c>
      <c r="D14" s="12">
        <v>1</v>
      </c>
      <c r="E14" s="28" t="s">
        <v>4</v>
      </c>
      <c r="F14" s="23" t="s">
        <v>87</v>
      </c>
      <c r="I14" s="152">
        <v>100</v>
      </c>
      <c r="K14" s="155" t="s">
        <v>7</v>
      </c>
    </row>
    <row r="15" spans="1:11">
      <c r="D15" s="101"/>
      <c r="E15" s="28" t="s">
        <v>4</v>
      </c>
      <c r="I15" s="101"/>
      <c r="K15" s="155" t="s">
        <v>8</v>
      </c>
    </row>
    <row r="16" spans="1:11">
      <c r="A16" s="26" t="s">
        <v>38</v>
      </c>
      <c r="D16" s="101"/>
      <c r="E16" s="28" t="s">
        <v>4</v>
      </c>
      <c r="F16" s="26" t="s">
        <v>41</v>
      </c>
      <c r="I16" s="101"/>
    </row>
    <row r="17" spans="1:14">
      <c r="A17" s="23" t="s">
        <v>298</v>
      </c>
      <c r="D17" s="12">
        <v>7</v>
      </c>
      <c r="E17" s="28" t="s">
        <v>4</v>
      </c>
      <c r="F17" s="23" t="s">
        <v>305</v>
      </c>
      <c r="I17" s="126">
        <v>4</v>
      </c>
      <c r="K17" s="4">
        <f>+I17*30</f>
        <v>120</v>
      </c>
      <c r="L17" s="4" t="s">
        <v>116</v>
      </c>
    </row>
    <row r="18" spans="1:14">
      <c r="A18" s="23" t="s">
        <v>299</v>
      </c>
      <c r="D18" s="152">
        <v>250</v>
      </c>
      <c r="E18" s="28" t="s">
        <v>4</v>
      </c>
      <c r="F18" s="4" t="s">
        <v>251</v>
      </c>
      <c r="I18" s="12">
        <v>0</v>
      </c>
    </row>
    <row r="19" spans="1:14">
      <c r="D19" s="101"/>
      <c r="E19" s="28" t="s">
        <v>4</v>
      </c>
    </row>
    <row r="20" spans="1:14" ht="17" thickBot="1">
      <c r="A20" s="26" t="s">
        <v>39</v>
      </c>
      <c r="D20" s="101"/>
      <c r="E20" s="28" t="s">
        <v>4</v>
      </c>
      <c r="F20" s="27" t="s">
        <v>117</v>
      </c>
      <c r="K20" s="102"/>
    </row>
    <row r="21" spans="1:14" ht="18" customHeight="1" thickTop="1" thickBot="1">
      <c r="A21" s="23" t="s">
        <v>285</v>
      </c>
      <c r="D21" s="152">
        <v>20</v>
      </c>
      <c r="E21" s="28" t="s">
        <v>4</v>
      </c>
      <c r="F21" s="4" t="s">
        <v>147</v>
      </c>
      <c r="I21" s="74">
        <v>0</v>
      </c>
      <c r="K21" s="176" t="s">
        <v>361</v>
      </c>
      <c r="L21" s="176"/>
      <c r="M21" s="176"/>
      <c r="N21" s="176"/>
    </row>
    <row r="22" spans="1:14" ht="17" thickTop="1">
      <c r="A22" s="23" t="s">
        <v>286</v>
      </c>
      <c r="D22" s="152">
        <v>5</v>
      </c>
      <c r="E22" s="28" t="s">
        <v>4</v>
      </c>
      <c r="F22" s="4" t="s">
        <v>119</v>
      </c>
      <c r="I22" s="75">
        <v>90</v>
      </c>
      <c r="K22" s="176" t="s">
        <v>368</v>
      </c>
      <c r="L22" s="176"/>
      <c r="M22" s="176"/>
      <c r="N22" s="176"/>
    </row>
    <row r="23" spans="1:14" ht="17" thickBot="1">
      <c r="A23" s="23" t="s">
        <v>287</v>
      </c>
      <c r="D23" s="152">
        <v>15.75</v>
      </c>
      <c r="E23" s="28" t="s">
        <v>4</v>
      </c>
      <c r="F23" s="4" t="s">
        <v>118</v>
      </c>
      <c r="I23" s="69">
        <v>4</v>
      </c>
      <c r="K23" s="176" t="s">
        <v>369</v>
      </c>
      <c r="L23" s="176"/>
      <c r="M23" s="176"/>
      <c r="N23" s="176"/>
    </row>
    <row r="24" spans="1:14" ht="18" thickTop="1" thickBot="1">
      <c r="A24" s="4" t="s">
        <v>40</v>
      </c>
      <c r="D24" s="152">
        <v>0</v>
      </c>
      <c r="E24" s="28" t="s">
        <v>4</v>
      </c>
      <c r="F24" s="4" t="s">
        <v>120</v>
      </c>
      <c r="I24" s="76">
        <v>10</v>
      </c>
      <c r="K24" s="176"/>
      <c r="L24" s="176"/>
      <c r="M24" s="176"/>
      <c r="N24" s="176"/>
    </row>
    <row r="25" spans="1:14" ht="15" customHeight="1" thickTop="1">
      <c r="A25" s="8" t="s">
        <v>67</v>
      </c>
      <c r="B25" s="8"/>
      <c r="C25" s="8"/>
      <c r="D25" s="157">
        <v>0</v>
      </c>
      <c r="E25" s="8"/>
      <c r="F25" s="8" t="s">
        <v>122</v>
      </c>
      <c r="G25" s="8"/>
      <c r="H25" s="8"/>
      <c r="I25" s="77">
        <v>25</v>
      </c>
    </row>
    <row r="26" spans="1:14" ht="15" customHeight="1">
      <c r="D26" s="154"/>
    </row>
    <row r="27" spans="1:14" ht="15" customHeight="1">
      <c r="D27" s="154"/>
      <c r="G27" s="5"/>
    </row>
    <row r="28" spans="1:14" ht="15" customHeight="1">
      <c r="A28" s="27" t="s">
        <v>69</v>
      </c>
      <c r="D28" s="28"/>
      <c r="E28" s="23"/>
      <c r="G28" s="5"/>
      <c r="H28" s="7"/>
    </row>
    <row r="29" spans="1:14" ht="68">
      <c r="C29" s="8" t="s">
        <v>70</v>
      </c>
      <c r="D29" s="8"/>
      <c r="E29" s="8"/>
      <c r="F29" s="5" t="s">
        <v>124</v>
      </c>
      <c r="G29" s="153" t="s">
        <v>113</v>
      </c>
      <c r="H29" s="185" t="s">
        <v>355</v>
      </c>
      <c r="I29" s="8" t="s">
        <v>76</v>
      </c>
    </row>
    <row r="30" spans="1:14" ht="16" customHeight="1">
      <c r="C30" s="27" t="str">
        <f>+'Step 1 - Feed Cost Input Sheet '!A24</f>
        <v>20% Liquid</v>
      </c>
      <c r="D30" s="82"/>
      <c r="E30" s="82"/>
      <c r="F30" s="12">
        <v>1.33</v>
      </c>
      <c r="G30" s="4">
        <f>+(F30/100)*$K$17</f>
        <v>1.5960000000000001</v>
      </c>
      <c r="H30" s="147">
        <f>+'Step 1 - Feed Cost Input Sheet '!B24</f>
        <v>15</v>
      </c>
      <c r="I30" s="82" t="s">
        <v>71</v>
      </c>
      <c r="K30" s="29" t="s">
        <v>370</v>
      </c>
      <c r="L30" s="29"/>
      <c r="M30" s="29"/>
      <c r="N30" s="29"/>
    </row>
    <row r="31" spans="1:14">
      <c r="C31" s="27" t="str">
        <f>+'Step 1 - Feed Cost Input Sheet '!A25</f>
        <v>Mineral &amp; Salt</v>
      </c>
      <c r="D31" s="82"/>
      <c r="E31" s="82"/>
      <c r="F31" s="12">
        <v>0</v>
      </c>
      <c r="G31" s="4">
        <f>+(F31/100)*$K$17</f>
        <v>0</v>
      </c>
      <c r="H31" s="147">
        <f>+'Step 1 - Feed Cost Input Sheet '!B25</f>
        <v>22</v>
      </c>
      <c r="I31" s="82" t="s">
        <v>71</v>
      </c>
      <c r="K31" s="29" t="s">
        <v>371</v>
      </c>
      <c r="L31" s="29"/>
      <c r="M31" s="29"/>
      <c r="N31" s="29"/>
    </row>
    <row r="32" spans="1:14">
      <c r="C32" s="27" t="str">
        <f>+'Step 1 - Feed Cost Input Sheet '!A26</f>
        <v>Dry Corn</v>
      </c>
      <c r="D32" s="82"/>
      <c r="E32" s="82"/>
      <c r="F32" s="12">
        <v>6.77</v>
      </c>
      <c r="G32" s="4">
        <f>+(F32/56)*$K$17</f>
        <v>14.507142857142856</v>
      </c>
      <c r="H32" s="147">
        <f>+'Step 1 - Feed Cost Input Sheet '!B26</f>
        <v>4</v>
      </c>
      <c r="I32" s="82" t="s">
        <v>72</v>
      </c>
      <c r="K32" s="29" t="s">
        <v>372</v>
      </c>
      <c r="L32" s="29"/>
      <c r="M32" s="29"/>
      <c r="N32" s="29"/>
    </row>
    <row r="33" spans="1:14">
      <c r="C33" s="27" t="str">
        <f>+'Step 1 - Feed Cost Input Sheet '!A27</f>
        <v>High Moisture Corn</v>
      </c>
      <c r="D33" s="82"/>
      <c r="E33" s="82"/>
      <c r="F33" s="12">
        <v>3.48</v>
      </c>
      <c r="G33" s="4">
        <f>+(F33/56)*$K$17</f>
        <v>7.4571428571428573</v>
      </c>
      <c r="H33" s="147">
        <f>+'Step 1 - Feed Cost Input Sheet '!B27</f>
        <v>2.25</v>
      </c>
      <c r="I33" s="82" t="s">
        <v>72</v>
      </c>
      <c r="K33" s="29" t="s">
        <v>373</v>
      </c>
      <c r="L33" s="29"/>
      <c r="M33" s="29"/>
      <c r="N33" s="29"/>
    </row>
    <row r="34" spans="1:14">
      <c r="C34" s="27" t="str">
        <f>+'Step 1 - Feed Cost Input Sheet '!A28</f>
        <v>Hay</v>
      </c>
      <c r="D34" s="82"/>
      <c r="E34" s="82"/>
      <c r="F34" s="12">
        <v>0.56999999999999995</v>
      </c>
      <c r="G34" s="4">
        <f>+(F34/2000)*$K$17</f>
        <v>3.4200000000000001E-2</v>
      </c>
      <c r="H34" s="147">
        <f>+'Step 1 - Feed Cost Input Sheet '!B28</f>
        <v>200</v>
      </c>
      <c r="I34" s="82" t="s">
        <v>73</v>
      </c>
    </row>
    <row r="35" spans="1:14">
      <c r="C35" s="27" t="str">
        <f>+'Step 1 - Feed Cost Input Sheet '!A29</f>
        <v>Alfalfa</v>
      </c>
      <c r="D35" s="82"/>
      <c r="E35" s="82"/>
      <c r="F35" s="12">
        <v>0</v>
      </c>
      <c r="G35" s="4">
        <f>+(F35/2000)*$K$17</f>
        <v>0</v>
      </c>
      <c r="H35" s="147">
        <f>+'Step 1 - Feed Cost Input Sheet '!B29</f>
        <v>250</v>
      </c>
      <c r="I35" s="82" t="s">
        <v>73</v>
      </c>
    </row>
    <row r="36" spans="1:14">
      <c r="C36" s="27" t="str">
        <f>+'Step 1 - Feed Cost Input Sheet '!A30</f>
        <v>Silage</v>
      </c>
      <c r="D36" s="82"/>
      <c r="E36" s="82"/>
      <c r="F36" s="12">
        <v>1.83</v>
      </c>
      <c r="G36" s="4">
        <f>+(F36/2000)*$K$17</f>
        <v>0.10980000000000001</v>
      </c>
      <c r="H36" s="147">
        <f>+'Step 1 - Feed Cost Input Sheet '!B30</f>
        <v>40</v>
      </c>
      <c r="I36" s="82" t="s">
        <v>73</v>
      </c>
    </row>
    <row r="37" spans="1:14">
      <c r="C37" s="27" t="str">
        <f>+'Step 1 - Feed Cost Input Sheet '!A31</f>
        <v>Corn Stover</v>
      </c>
      <c r="D37" s="82"/>
      <c r="E37" s="82"/>
      <c r="F37" s="12">
        <v>2.0499999999999998</v>
      </c>
      <c r="G37" s="4">
        <f>+(F37/2000)*$K$17</f>
        <v>0.12299999999999998</v>
      </c>
      <c r="H37" s="147">
        <f>+'Step 1 - Feed Cost Input Sheet '!B31</f>
        <v>90</v>
      </c>
      <c r="I37" s="82" t="s">
        <v>73</v>
      </c>
    </row>
    <row r="38" spans="1:14">
      <c r="C38" s="27" t="str">
        <f>+'Step 1 - Feed Cost Input Sheet '!A32</f>
        <v>Dried Distillers</v>
      </c>
      <c r="D38" s="82"/>
      <c r="E38" s="82"/>
      <c r="F38" s="12">
        <v>1.73</v>
      </c>
      <c r="G38" s="4">
        <f>+(F38/2000)*$K$17</f>
        <v>0.1038</v>
      </c>
      <c r="H38" s="147">
        <f>+'Step 1 - Feed Cost Input Sheet '!B32</f>
        <v>125</v>
      </c>
      <c r="I38" s="82" t="s">
        <v>73</v>
      </c>
    </row>
    <row r="39" spans="1:14">
      <c r="C39" s="27" t="str">
        <f>+'Step 1 - Feed Cost Input Sheet '!A33</f>
        <v>Pasture</v>
      </c>
      <c r="D39" s="82"/>
      <c r="E39" s="82"/>
      <c r="F39" s="148"/>
      <c r="G39" s="4">
        <f>I18</f>
        <v>0</v>
      </c>
      <c r="H39" s="147">
        <f>+'Step 1 - Feed Cost Input Sheet '!B33</f>
        <v>55</v>
      </c>
      <c r="I39" s="82" t="s">
        <v>153</v>
      </c>
    </row>
    <row r="40" spans="1:14">
      <c r="C40" s="27"/>
      <c r="D40" s="82"/>
      <c r="E40" s="82"/>
      <c r="F40" s="156"/>
      <c r="H40" s="147"/>
      <c r="I40" s="82"/>
    </row>
    <row r="41" spans="1:14" ht="19" customHeight="1">
      <c r="A41" s="192" t="s">
        <v>310</v>
      </c>
      <c r="B41" s="174"/>
      <c r="C41" s="174"/>
      <c r="D41" s="174"/>
      <c r="E41" s="174"/>
      <c r="F41" s="174"/>
      <c r="H41" s="147"/>
      <c r="I41" s="82"/>
    </row>
    <row r="42" spans="1:14" ht="20" customHeight="1">
      <c r="A42" s="192" t="s">
        <v>367</v>
      </c>
      <c r="B42" s="174"/>
      <c r="C42" s="174"/>
      <c r="D42" s="174"/>
      <c r="E42" s="174"/>
      <c r="F42" s="174"/>
      <c r="H42" s="147"/>
      <c r="I42" s="82"/>
    </row>
    <row r="43" spans="1:14" ht="16" customHeight="1">
      <c r="A43" s="173"/>
      <c r="B43" s="173"/>
      <c r="C43" s="173"/>
      <c r="D43" s="173"/>
      <c r="E43" s="173"/>
      <c r="F43" s="173"/>
      <c r="H43" s="147"/>
      <c r="I43" s="82"/>
    </row>
    <row r="44" spans="1:14" ht="16" customHeight="1">
      <c r="A44" s="173"/>
      <c r="B44" s="173"/>
      <c r="C44" s="173"/>
      <c r="D44" s="173"/>
      <c r="E44" s="173"/>
      <c r="F44" s="173"/>
      <c r="H44" s="147"/>
      <c r="I44" s="82"/>
    </row>
    <row r="45" spans="1:14" ht="16" customHeight="1">
      <c r="A45" s="173"/>
      <c r="B45" s="173"/>
      <c r="C45" s="173"/>
      <c r="D45" s="173"/>
      <c r="E45" s="173"/>
      <c r="F45" s="173"/>
      <c r="H45" s="147"/>
      <c r="I45" s="82"/>
    </row>
    <row r="46" spans="1:14">
      <c r="A46" s="178">
        <f>+'Step 1 - Feed Cost Input Sheet '!F23</f>
        <v>45229</v>
      </c>
      <c r="B46" s="178"/>
      <c r="C46" s="27"/>
      <c r="D46" s="82"/>
      <c r="E46" s="82"/>
      <c r="F46" s="156"/>
      <c r="H46" s="147"/>
      <c r="I46" s="82"/>
    </row>
    <row r="47" spans="1:14">
      <c r="A47" s="23" t="s">
        <v>10</v>
      </c>
    </row>
    <row r="48" spans="1:14">
      <c r="A48" s="7" t="s">
        <v>37</v>
      </c>
      <c r="B48" s="98">
        <f>(D12-D17)*100</f>
        <v>400</v>
      </c>
      <c r="C48" s="23" t="s">
        <v>109</v>
      </c>
      <c r="D48" s="99">
        <f>I17</f>
        <v>4</v>
      </c>
      <c r="E48" s="23" t="s">
        <v>177</v>
      </c>
      <c r="F48" s="4">
        <f>B48/(I17*365/12)</f>
        <v>3.2876712328767121</v>
      </c>
      <c r="G48" s="4" t="s">
        <v>178</v>
      </c>
    </row>
    <row r="49" spans="1:9">
      <c r="A49" s="26" t="s">
        <v>11</v>
      </c>
    </row>
    <row r="50" spans="1:9">
      <c r="B50" s="23" t="s">
        <v>42</v>
      </c>
      <c r="E50" s="4">
        <f>D12</f>
        <v>11</v>
      </c>
      <c r="F50" s="11" t="s">
        <v>43</v>
      </c>
      <c r="G50" s="45">
        <f>D13</f>
        <v>207</v>
      </c>
      <c r="I50" s="45">
        <f>E50*G50</f>
        <v>2277</v>
      </c>
    </row>
    <row r="51" spans="1:9" ht="17" thickBot="1">
      <c r="B51" s="23" t="s">
        <v>44</v>
      </c>
      <c r="D51" s="7" t="s">
        <v>29</v>
      </c>
      <c r="E51" s="4">
        <f>D14</f>
        <v>1</v>
      </c>
      <c r="F51" s="23" t="s">
        <v>45</v>
      </c>
      <c r="G51" s="45">
        <f>I50</f>
        <v>2277</v>
      </c>
      <c r="H51" s="106" t="s">
        <v>27</v>
      </c>
      <c r="I51" s="45">
        <f>-E51*G51/100</f>
        <v>-22.77</v>
      </c>
    </row>
    <row r="52" spans="1:9" ht="17" thickBot="1">
      <c r="D52" s="23" t="s">
        <v>12</v>
      </c>
      <c r="I52" s="113">
        <f>SUM(I50:I51)</f>
        <v>2254.23</v>
      </c>
    </row>
    <row r="54" spans="1:9">
      <c r="A54" s="26" t="s">
        <v>13</v>
      </c>
    </row>
    <row r="55" spans="1:9">
      <c r="B55" s="23" t="s">
        <v>46</v>
      </c>
      <c r="E55" s="4">
        <f>D17</f>
        <v>7</v>
      </c>
      <c r="F55" s="11" t="s">
        <v>47</v>
      </c>
      <c r="G55" s="45">
        <f>+D18</f>
        <v>250</v>
      </c>
      <c r="I55" s="45">
        <f>E55*G55</f>
        <v>1750</v>
      </c>
    </row>
    <row r="56" spans="1:9">
      <c r="B56" s="23" t="s">
        <v>68</v>
      </c>
      <c r="I56" s="45">
        <f>SUM(H57:H66)</f>
        <v>134.02414285714283</v>
      </c>
    </row>
    <row r="57" spans="1:9">
      <c r="B57" s="23" t="str">
        <f t="shared" ref="B57:B66" si="0">+C30</f>
        <v>20% Liquid</v>
      </c>
      <c r="D57" s="23" t="s">
        <v>14</v>
      </c>
      <c r="E57" s="4">
        <f t="shared" ref="E57:E65" si="1">+G30</f>
        <v>1.5960000000000001</v>
      </c>
      <c r="F57" s="11" t="s">
        <v>15</v>
      </c>
      <c r="G57" s="45">
        <f t="shared" ref="G57:G66" si="2">+H30</f>
        <v>15</v>
      </c>
      <c r="H57" s="45">
        <f>E57*G57</f>
        <v>23.94</v>
      </c>
    </row>
    <row r="58" spans="1:9">
      <c r="B58" s="23" t="str">
        <f t="shared" si="0"/>
        <v>Mineral &amp; Salt</v>
      </c>
      <c r="E58" s="4">
        <f t="shared" si="1"/>
        <v>0</v>
      </c>
      <c r="F58" s="11" t="s">
        <v>15</v>
      </c>
      <c r="G58" s="45">
        <f t="shared" si="2"/>
        <v>22</v>
      </c>
      <c r="H58" s="45">
        <f t="shared" ref="H58:H65" si="3">E58*G58</f>
        <v>0</v>
      </c>
    </row>
    <row r="59" spans="1:9">
      <c r="B59" s="23" t="str">
        <f t="shared" si="0"/>
        <v>Dry Corn</v>
      </c>
      <c r="E59" s="4">
        <f t="shared" si="1"/>
        <v>14.507142857142856</v>
      </c>
      <c r="F59" s="11" t="s">
        <v>49</v>
      </c>
      <c r="G59" s="45">
        <f t="shared" si="2"/>
        <v>4</v>
      </c>
      <c r="H59" s="45">
        <f t="shared" si="3"/>
        <v>58.028571428571425</v>
      </c>
    </row>
    <row r="60" spans="1:9">
      <c r="B60" s="23" t="str">
        <f t="shared" si="0"/>
        <v>High Moisture Corn</v>
      </c>
      <c r="E60" s="4">
        <f t="shared" si="1"/>
        <v>7.4571428571428573</v>
      </c>
      <c r="F60" s="11" t="s">
        <v>49</v>
      </c>
      <c r="G60" s="45">
        <f t="shared" si="2"/>
        <v>2.25</v>
      </c>
      <c r="H60" s="45">
        <f t="shared" si="3"/>
        <v>16.778571428571428</v>
      </c>
    </row>
    <row r="61" spans="1:9">
      <c r="B61" s="23" t="str">
        <f t="shared" si="0"/>
        <v>Hay</v>
      </c>
      <c r="E61" s="4">
        <f t="shared" si="1"/>
        <v>3.4200000000000001E-2</v>
      </c>
      <c r="F61" s="11" t="s">
        <v>50</v>
      </c>
      <c r="G61" s="45">
        <f t="shared" si="2"/>
        <v>200</v>
      </c>
      <c r="H61" s="45">
        <f>E61*G61</f>
        <v>6.84</v>
      </c>
    </row>
    <row r="62" spans="1:9">
      <c r="B62" s="23" t="str">
        <f t="shared" si="0"/>
        <v>Alfalfa</v>
      </c>
      <c r="E62" s="4">
        <f t="shared" si="1"/>
        <v>0</v>
      </c>
      <c r="F62" s="11" t="s">
        <v>50</v>
      </c>
      <c r="G62" s="45">
        <f t="shared" si="2"/>
        <v>250</v>
      </c>
      <c r="H62" s="45">
        <f t="shared" si="3"/>
        <v>0</v>
      </c>
    </row>
    <row r="63" spans="1:9">
      <c r="B63" s="23" t="str">
        <f t="shared" si="0"/>
        <v>Silage</v>
      </c>
      <c r="E63" s="4">
        <f t="shared" si="1"/>
        <v>0.10980000000000001</v>
      </c>
      <c r="F63" s="11" t="s">
        <v>50</v>
      </c>
      <c r="G63" s="45">
        <f t="shared" si="2"/>
        <v>40</v>
      </c>
      <c r="H63" s="45">
        <f t="shared" si="3"/>
        <v>4.3920000000000003</v>
      </c>
    </row>
    <row r="64" spans="1:9">
      <c r="B64" s="23" t="str">
        <f t="shared" si="0"/>
        <v>Corn Stover</v>
      </c>
      <c r="E64" s="4">
        <f t="shared" si="1"/>
        <v>0.12299999999999998</v>
      </c>
      <c r="F64" s="11" t="s">
        <v>50</v>
      </c>
      <c r="G64" s="45">
        <f t="shared" si="2"/>
        <v>90</v>
      </c>
      <c r="H64" s="45">
        <f t="shared" si="3"/>
        <v>11.069999999999999</v>
      </c>
    </row>
    <row r="65" spans="1:9">
      <c r="B65" s="23" t="str">
        <f t="shared" si="0"/>
        <v>Dried Distillers</v>
      </c>
      <c r="E65" s="4">
        <f t="shared" si="1"/>
        <v>0.1038</v>
      </c>
      <c r="F65" s="11" t="s">
        <v>50</v>
      </c>
      <c r="G65" s="45">
        <f t="shared" si="2"/>
        <v>125</v>
      </c>
      <c r="H65" s="45">
        <f t="shared" si="3"/>
        <v>12.975</v>
      </c>
    </row>
    <row r="66" spans="1:9">
      <c r="B66" s="23" t="str">
        <f t="shared" si="0"/>
        <v>Pasture</v>
      </c>
      <c r="E66" s="4">
        <f>+I18</f>
        <v>0</v>
      </c>
      <c r="F66" s="11" t="s">
        <v>174</v>
      </c>
      <c r="G66" s="45">
        <f t="shared" si="2"/>
        <v>55</v>
      </c>
      <c r="H66" s="45">
        <f>(E66*G66)</f>
        <v>0</v>
      </c>
    </row>
    <row r="67" spans="1:9">
      <c r="B67" s="23" t="s">
        <v>16</v>
      </c>
      <c r="I67" s="45">
        <f>D21</f>
        <v>20</v>
      </c>
    </row>
    <row r="68" spans="1:9">
      <c r="B68" s="23" t="s">
        <v>17</v>
      </c>
      <c r="I68" s="45">
        <f>D22</f>
        <v>5</v>
      </c>
    </row>
    <row r="69" spans="1:9">
      <c r="B69" s="23" t="s">
        <v>18</v>
      </c>
      <c r="I69" s="45">
        <f>D23</f>
        <v>15.75</v>
      </c>
    </row>
    <row r="70" spans="1:9">
      <c r="B70" s="23" t="s">
        <v>48</v>
      </c>
      <c r="I70" s="45">
        <f>+D24</f>
        <v>0</v>
      </c>
    </row>
    <row r="71" spans="1:9">
      <c r="B71" s="23" t="s">
        <v>36</v>
      </c>
      <c r="I71" s="45">
        <f>+D25</f>
        <v>0</v>
      </c>
    </row>
    <row r="72" spans="1:9" ht="17" thickBot="1">
      <c r="B72" s="23" t="s">
        <v>173</v>
      </c>
      <c r="I72" s="46">
        <f>+IF(I21=0,(I22/I24*I23/I25),(I21*I22/I25))</f>
        <v>1.44</v>
      </c>
    </row>
    <row r="73" spans="1:9" ht="17" thickBot="1">
      <c r="B73" s="23" t="s">
        <v>14</v>
      </c>
      <c r="D73" s="23" t="s">
        <v>19</v>
      </c>
      <c r="I73" s="149">
        <f>+SUM(I55:I72)</f>
        <v>1926.2141428571429</v>
      </c>
    </row>
    <row r="74" spans="1:9" ht="17" thickBot="1"/>
    <row r="75" spans="1:9" ht="18" thickTop="1" thickBot="1">
      <c r="A75" s="26" t="s">
        <v>20</v>
      </c>
      <c r="I75" s="150">
        <f>I52-I73</f>
        <v>328.01585714285716</v>
      </c>
    </row>
    <row r="76" spans="1:9" ht="17" thickTop="1"/>
    <row r="77" spans="1:9">
      <c r="A77" s="26" t="s">
        <v>21</v>
      </c>
    </row>
    <row r="78" spans="1:9">
      <c r="B78" s="23" t="s">
        <v>22</v>
      </c>
      <c r="G78" s="112">
        <f>I12/100</f>
        <v>0.06</v>
      </c>
    </row>
    <row r="79" spans="1:9">
      <c r="B79" s="23" t="s">
        <v>266</v>
      </c>
      <c r="I79" s="45">
        <f>((I73*I12)*($I$17/12))/100</f>
        <v>38.52428285714285</v>
      </c>
    </row>
    <row r="80" spans="1:9">
      <c r="B80" s="23" t="s">
        <v>24</v>
      </c>
      <c r="I80" s="45">
        <f>I13</f>
        <v>6</v>
      </c>
    </row>
    <row r="81" spans="1:9" ht="17" thickBot="1">
      <c r="B81" s="23" t="s">
        <v>268</v>
      </c>
      <c r="I81" s="45">
        <f>(I73+I14)*0.025</f>
        <v>50.655353571428577</v>
      </c>
    </row>
    <row r="82" spans="1:9" ht="17" thickBot="1">
      <c r="D82" s="4" t="s">
        <v>267</v>
      </c>
      <c r="I82" s="113">
        <f>+SUM(I79:I81)</f>
        <v>95.179636428571428</v>
      </c>
    </row>
    <row r="83" spans="1:9" ht="17" thickBot="1">
      <c r="D83" s="23" t="s">
        <v>25</v>
      </c>
      <c r="I83" s="151">
        <f>I75-SUM(I78:I81)</f>
        <v>232.83622071428573</v>
      </c>
    </row>
    <row r="84" spans="1:9" ht="17" thickTop="1">
      <c r="D84" s="23"/>
      <c r="I84" s="45"/>
    </row>
    <row r="85" spans="1:9">
      <c r="G85" s="7" t="s">
        <v>51</v>
      </c>
      <c r="H85" s="45">
        <f>(I73+I82+I51)/E50</f>
        <v>181.69307084415584</v>
      </c>
      <c r="I85" s="102" t="s">
        <v>103</v>
      </c>
    </row>
    <row r="86" spans="1:9">
      <c r="E86" s="7" t="s">
        <v>52</v>
      </c>
      <c r="F86" s="45">
        <f>D18</f>
        <v>250</v>
      </c>
      <c r="G86" s="23" t="s">
        <v>53</v>
      </c>
    </row>
    <row r="87" spans="1:9">
      <c r="F87" s="7" t="s">
        <v>54</v>
      </c>
      <c r="G87" s="11">
        <f>(SUM(I56:I71)+I82)/(E50-E55)</f>
        <v>67.488444821428573</v>
      </c>
      <c r="H87" s="23" t="s">
        <v>55</v>
      </c>
    </row>
    <row r="88" spans="1:9">
      <c r="G88" s="7" t="s">
        <v>56</v>
      </c>
      <c r="H88" s="45">
        <f>(I52-(SUM(I56:I71)+I82))/E55</f>
        <v>283.46803153061222</v>
      </c>
      <c r="I88" s="102" t="s">
        <v>103</v>
      </c>
    </row>
    <row r="89" spans="1:9">
      <c r="E89" s="7" t="s">
        <v>57</v>
      </c>
      <c r="F89" s="115">
        <f>D13</f>
        <v>207</v>
      </c>
      <c r="G89" s="23" t="s">
        <v>53</v>
      </c>
    </row>
    <row r="91" spans="1:9">
      <c r="A91" s="26" t="s">
        <v>108</v>
      </c>
    </row>
    <row r="92" spans="1:9">
      <c r="C92" s="122"/>
      <c r="D92" s="183" t="s">
        <v>32</v>
      </c>
      <c r="E92" s="183"/>
      <c r="F92" s="183"/>
      <c r="G92" s="183"/>
      <c r="H92" s="183"/>
      <c r="I92" s="183"/>
    </row>
    <row r="93" spans="1:9" ht="51">
      <c r="C93" s="179" t="s">
        <v>374</v>
      </c>
      <c r="D93" s="116">
        <f>G50-8</f>
        <v>199</v>
      </c>
      <c r="E93" s="117">
        <f>G50-4</f>
        <v>203</v>
      </c>
      <c r="F93" s="117">
        <f>G50</f>
        <v>207</v>
      </c>
      <c r="G93" s="117">
        <f>G50+4</f>
        <v>211</v>
      </c>
      <c r="H93" s="117">
        <f>G50+8</f>
        <v>215</v>
      </c>
      <c r="I93" s="117">
        <f>H93+4</f>
        <v>219</v>
      </c>
    </row>
    <row r="94" spans="1:9">
      <c r="C94" s="187">
        <f>G55-10</f>
        <v>240</v>
      </c>
      <c r="D94" s="106">
        <f>(($E$50*D93)-($E$51/100*$E$50*D93))-(($E$55*C94)+SUM($I$56:$I$71)+SUM($I$79:$I$81))</f>
        <v>217.15622071428584</v>
      </c>
      <c r="E94" s="106">
        <f>(($E$50*E93)-($E$51/100*$E$50*E93))-(($E$55*C94)+SUM($I$56:$I$71)+SUM($I$79:$I$81))</f>
        <v>260.71622071428578</v>
      </c>
      <c r="F94" s="106">
        <f>(($E$50*F93)-($E$51/100*$E$50*F93))-(($E$55*C94)+SUM($I$56:$I$71)+SUM($I$79:$I$81))</f>
        <v>304.27622071428573</v>
      </c>
      <c r="G94" s="106">
        <f>(($E$50*G93)-($E$51/100*$E$50*G93))-(($E$55*C94)+SUM($I$56:$I$71)+SUM($I$79:$I$81))</f>
        <v>347.83622071428567</v>
      </c>
      <c r="H94" s="106">
        <f>(($E$50*H93)-($E$51/100*$E$50*H93))-(($E$55*C94)+SUM($I$56:$I$71)+SUM($I$79:$I$81))</f>
        <v>391.39622071428562</v>
      </c>
      <c r="I94" s="106">
        <f>(($E$50*I93)-($E$51/100*$E$50*I93))-(($E$55*C94)+SUM($I$56:$I$71)+SUM($I$79:$I$81))</f>
        <v>434.95622071428556</v>
      </c>
    </row>
    <row r="95" spans="1:9">
      <c r="C95" s="45">
        <f>G55-5</f>
        <v>245</v>
      </c>
      <c r="D95" s="106">
        <f>(($E$50*D93)-($E$51/100*$E$50*D93))-(($E$55*C95)+SUM($I$56:$I$71)+SUM($I$79:$I$81))</f>
        <v>182.15622071428584</v>
      </c>
      <c r="E95" s="106">
        <f>(($E$50*E93)-($E$51/100*$E$50*E93))-(($E$55*C95)+SUM($I$56:$I$71)+SUM($I$79:$I$81))</f>
        <v>225.71622071428578</v>
      </c>
      <c r="F95" s="106">
        <f>(($E$50*F93)-($E$51/100*$E$50*F93))-(($E$55*C95)+SUM($I$56:$I$71)+SUM($I$79:$I$81))</f>
        <v>269.27622071428573</v>
      </c>
      <c r="G95" s="106">
        <f>(($E$50*G93)-($E$51/100*$E$50*G93))-(($E$55*C95)+SUM($I$56:$I$71)+SUM($I$79:$I$81))</f>
        <v>312.83622071428567</v>
      </c>
      <c r="H95" s="106">
        <f>(($E$50*H93)-($E$51/100*$E$50*H93))-(($E$55*C95)+SUM($I$56:$I$71)+SUM($I$79:$I$81))</f>
        <v>356.39622071428562</v>
      </c>
      <c r="I95" s="106">
        <f>(($E$50*I93)-($E$51/100*$E$50*I93))-(($E$55*C95)+SUM($I$56:$I$71)+SUM($I$79:$I$81))</f>
        <v>399.95622071428556</v>
      </c>
    </row>
    <row r="96" spans="1:9">
      <c r="C96" s="45">
        <f>G55</f>
        <v>250</v>
      </c>
      <c r="D96" s="106">
        <f t="shared" ref="D96:I96" si="4">(($E$50*D93)-($E$51/100*$E$50*D93))-(($E$55*$C$96)+SUM($I$56:$I$71)+SUM($I$79:$I$81))</f>
        <v>147.15622071428584</v>
      </c>
      <c r="E96" s="106">
        <f t="shared" si="4"/>
        <v>190.71622071428578</v>
      </c>
      <c r="F96" s="106">
        <f t="shared" si="4"/>
        <v>234.27622071428573</v>
      </c>
      <c r="G96" s="106">
        <f t="shared" si="4"/>
        <v>277.83622071428567</v>
      </c>
      <c r="H96" s="106">
        <f t="shared" si="4"/>
        <v>321.39622071428562</v>
      </c>
      <c r="I96" s="106">
        <f t="shared" si="4"/>
        <v>364.95622071428556</v>
      </c>
    </row>
    <row r="97" spans="1:9">
      <c r="C97" s="45">
        <f>G55+5</f>
        <v>255</v>
      </c>
      <c r="D97" s="106">
        <f t="shared" ref="D97:I97" si="5">(($E$50*D93)-($E$51/100*$E$50*D93))-(($E$55*$C$97)+SUM($I$56:$I$71)+SUM($I$79:$I$81))</f>
        <v>112.15622071428606</v>
      </c>
      <c r="E97" s="106">
        <f t="shared" si="5"/>
        <v>155.71622071428601</v>
      </c>
      <c r="F97" s="106">
        <f t="shared" si="5"/>
        <v>199.27622071428596</v>
      </c>
      <c r="G97" s="106">
        <f t="shared" si="5"/>
        <v>242.8362207142859</v>
      </c>
      <c r="H97" s="106">
        <f t="shared" si="5"/>
        <v>286.39622071428585</v>
      </c>
      <c r="I97" s="106">
        <f t="shared" si="5"/>
        <v>329.95622071428579</v>
      </c>
    </row>
    <row r="98" spans="1:9" ht="15.75" customHeight="1">
      <c r="C98" s="45">
        <f>G55+10</f>
        <v>260</v>
      </c>
      <c r="D98" s="106">
        <f t="shared" ref="D98:I98" si="6">(($E$50*D93)-($E$51/100*$E$50*D93))-(($E$55*$C$98)+SUM($I$56:$I$71)+SUM($I$79:$I$81))</f>
        <v>77.156220714286064</v>
      </c>
      <c r="E98" s="106">
        <f t="shared" si="6"/>
        <v>120.71622071428601</v>
      </c>
      <c r="F98" s="106">
        <f t="shared" si="6"/>
        <v>164.27622071428596</v>
      </c>
      <c r="G98" s="106">
        <f t="shared" si="6"/>
        <v>207.8362207142859</v>
      </c>
      <c r="H98" s="106">
        <f t="shared" si="6"/>
        <v>251.39622071428585</v>
      </c>
      <c r="I98" s="106">
        <f t="shared" si="6"/>
        <v>294.95622071428579</v>
      </c>
    </row>
    <row r="99" spans="1:9">
      <c r="I99" s="23"/>
    </row>
    <row r="100" spans="1:9">
      <c r="A100" s="118" t="s">
        <v>108</v>
      </c>
      <c r="B100" s="45"/>
      <c r="C100" s="45"/>
      <c r="D100" s="45"/>
      <c r="E100" s="45"/>
      <c r="G100" s="45"/>
      <c r="I100" s="23"/>
    </row>
    <row r="101" spans="1:9">
      <c r="D101" s="165" t="s">
        <v>59</v>
      </c>
      <c r="E101" s="119">
        <f>G55</f>
        <v>250</v>
      </c>
      <c r="F101" s="106" t="s">
        <v>60</v>
      </c>
      <c r="H101" s="45"/>
      <c r="I101" s="106"/>
    </row>
    <row r="102" spans="1:9" ht="51">
      <c r="A102" s="8"/>
      <c r="B102" s="8"/>
      <c r="C102" s="162" t="s">
        <v>106</v>
      </c>
      <c r="D102" s="117">
        <f>G50-8</f>
        <v>199</v>
      </c>
      <c r="E102" s="117">
        <f>G50-4</f>
        <v>203</v>
      </c>
      <c r="F102" s="117">
        <f>G50</f>
        <v>207</v>
      </c>
      <c r="G102" s="117">
        <f>G50+4</f>
        <v>211</v>
      </c>
      <c r="H102" s="117">
        <f>G50+8</f>
        <v>215</v>
      </c>
      <c r="I102" s="117">
        <f>G50+12</f>
        <v>219</v>
      </c>
    </row>
    <row r="103" spans="1:9">
      <c r="C103" s="122">
        <f>G87/100-0.1</f>
        <v>0.57488444821428575</v>
      </c>
      <c r="D103" s="106">
        <f>((E50*(G50-8))-(E51/100*E50*(G50-8)))-(I55+((G87-10)*(E50-E55)))</f>
        <v>187.15622071428584</v>
      </c>
      <c r="E103" s="106">
        <f>((E50*(G50-4))-(E51/100*E50*(G50-4)))-(I55+((G87-10)*(E50-E55)))</f>
        <v>230.71622071428578</v>
      </c>
      <c r="F103" s="106">
        <f>((E50*(G50))-(E51/100*E50*(G50)))-(I55+((G87-10)*(E50-E55)))</f>
        <v>274.27622071428573</v>
      </c>
      <c r="G103" s="106">
        <f>((E50*(G50+4))-(E51/100*E50*(G50+4)))-(I55+((G87-10)*(E50-E55)))</f>
        <v>317.83622071428567</v>
      </c>
      <c r="H103" s="106">
        <f>((E50*(G50+8))-(E51/100*E50*(G50+8)))-(I55+((G87-10)*(E50-E55)))</f>
        <v>361.39622071428562</v>
      </c>
      <c r="I103" s="106">
        <f>((E50*(G50+12))-(E51/100*E50*(G50+12)))-(I55+((G87-10)*(E50-E55)))</f>
        <v>404.95622071428556</v>
      </c>
    </row>
    <row r="104" spans="1:9">
      <c r="C104" s="122">
        <f>G87/100-0.05</f>
        <v>0.62488444821428568</v>
      </c>
      <c r="D104" s="106">
        <f>((E50*(G50-8))-(E51/100*E50*(G50-8)))-(I55+((G87-5)*(E50-E55)))</f>
        <v>167.15622071428584</v>
      </c>
      <c r="E104" s="106">
        <f>((E50*(G50-4))-(E51/100*E50*(G50-4)))-(I55+((G87-5)*(E50-E55)))</f>
        <v>210.71622071428578</v>
      </c>
      <c r="F104" s="106">
        <f>((E50*(G50))-(E51/100*E50*(G50)))-(I55+((G87-5)*(E50-E55)))</f>
        <v>254.27622071428573</v>
      </c>
      <c r="G104" s="106">
        <f>((E50*(G50+4))-(E51/100*E50*(G50+4)))-(I55+((G87-5)*(E50-E55)))</f>
        <v>297.83622071428567</v>
      </c>
      <c r="H104" s="106">
        <f>((E50*(G50+8))-(E51/100*E50*(G50+8)))-(I55+((G87-5)*(E50-E55)))</f>
        <v>341.39622071428562</v>
      </c>
      <c r="I104" s="106">
        <f>((E50*(G50+12))-(E51/100*E50*(G50+12)))-(I55+((G87-5)*(E50-E55)))</f>
        <v>384.95622071428556</v>
      </c>
    </row>
    <row r="105" spans="1:9">
      <c r="C105" s="122">
        <f>G87/100</f>
        <v>0.67488444821428573</v>
      </c>
      <c r="D105" s="106">
        <f>((E50*(G50-8))-(E51/100*E50*(G50-8)))-(I55+(G87*(E50-E55)))</f>
        <v>147.15622071428584</v>
      </c>
      <c r="E105" s="106">
        <f>((E50*(G50-4))-(E51/100*E50*(G50-4)))-(I55+(G87*(E50-E55)))</f>
        <v>190.71622071428578</v>
      </c>
      <c r="F105" s="106">
        <f>((E50*G50)-(E51/100*E50*G50))-(I55+(G87*(E50-E55)))</f>
        <v>234.27622071428573</v>
      </c>
      <c r="G105" s="106">
        <f>((E50*(G50+4))-(E51/100*E50*(G50+4)))-(I55+(G87*(E50-E55)))</f>
        <v>277.83622071428567</v>
      </c>
      <c r="H105" s="106">
        <f>((E50*(G50+8))-(E51/100*E50*(G50+8)))-(I55+(G87*(E50-E55)))</f>
        <v>321.39622071428562</v>
      </c>
      <c r="I105" s="106">
        <f>((E50*(G50+12))-(E51/100*E50*(G50+12)))-(I55+(G87*(E50-E55)))</f>
        <v>364.95622071428556</v>
      </c>
    </row>
    <row r="106" spans="1:9">
      <c r="C106" s="122">
        <f>G87/100+0.05</f>
        <v>0.72488444821428577</v>
      </c>
      <c r="D106" s="106">
        <f>((E50*(G50-8))-(E51/100*E50*(G50-8)))-(I55+((G87+5)*(E50-E55)))</f>
        <v>127.15622071428584</v>
      </c>
      <c r="E106" s="106">
        <f>((E50*(G50-4))-(E51/100*E50*(G50-4)))-(I55+((G87+5)*(E50-E55)))</f>
        <v>170.71622071428578</v>
      </c>
      <c r="F106" s="106">
        <f>((E50*(G50))-(E51/100*E50*(G50)))-(I55+((G87+5)*(E50-E55)))</f>
        <v>214.27622071428573</v>
      </c>
      <c r="G106" s="106">
        <f>((E50*(G50+4))-(E51/100*E50*(G50+4)))-(I55+((G87+5)*(E50-E55)))</f>
        <v>257.83622071428567</v>
      </c>
      <c r="H106" s="106">
        <f>((E50*(G50+8))-(E51/100*E50*(G50+8)))-(I55+((G87+5)*(E50-E55)))</f>
        <v>301.39622071428562</v>
      </c>
      <c r="I106" s="106">
        <f>((E50*(G50+12))-(E51/100*E50*(G50+12)))-(I55+((G87+5)*(E50-E55)))</f>
        <v>344.95622071428556</v>
      </c>
    </row>
    <row r="107" spans="1:9">
      <c r="C107" s="122">
        <f>G87/100+0.1</f>
        <v>0.7748844482142857</v>
      </c>
      <c r="D107" s="106">
        <f>((E50*(G50-8))-(E51/100*E50*(G50-8)))-(I55+((G87+10)*(E50-E55)))</f>
        <v>107.15622071428561</v>
      </c>
      <c r="E107" s="106">
        <f>((E50*(G50-4))-(E51/100*E50*(G50-4)))-(I55+((G87+10)*(E50-E55)))</f>
        <v>150.71622071428556</v>
      </c>
      <c r="F107" s="106">
        <f>((E50*(G50))-(E51/100*E50*(G50)))-(I55+((G87+10)*(E50-E55)))</f>
        <v>194.2762207142855</v>
      </c>
      <c r="G107" s="106">
        <f>((E50*(G50+4))-(E51/100*E50*(G50+4)))-(I55+((G87+10)*(E50-E55)))</f>
        <v>237.83622071428545</v>
      </c>
      <c r="H107" s="106">
        <f>((E50*(G50+8))-(E51/100*E50*(G50+8)))-(I55+((G87+10)*(E50-E55)))</f>
        <v>281.39622071428539</v>
      </c>
      <c r="I107" s="106">
        <f>((E50*(G50+12))-(E51/100*E50*(G50+12)))-(I55+((G87+10)*(E50-E55)))</f>
        <v>324.95622071428534</v>
      </c>
    </row>
    <row r="108" spans="1:9">
      <c r="I108" s="23"/>
    </row>
    <row r="109" spans="1:9">
      <c r="A109" s="118" t="s">
        <v>108</v>
      </c>
      <c r="I109" s="23"/>
    </row>
    <row r="110" spans="1:9">
      <c r="D110" s="165" t="s">
        <v>59</v>
      </c>
      <c r="E110" s="119">
        <f>G55+10</f>
        <v>260</v>
      </c>
      <c r="F110" s="106" t="s">
        <v>60</v>
      </c>
      <c r="H110" s="45"/>
      <c r="I110" s="106"/>
    </row>
    <row r="111" spans="1:9" ht="51">
      <c r="A111" s="8"/>
      <c r="B111" s="8"/>
      <c r="C111" s="190" t="s">
        <v>375</v>
      </c>
      <c r="D111" s="117">
        <f>G50-8</f>
        <v>199</v>
      </c>
      <c r="E111" s="117">
        <f>G50-4</f>
        <v>203</v>
      </c>
      <c r="F111" s="117">
        <f>G50</f>
        <v>207</v>
      </c>
      <c r="G111" s="117">
        <f>G50+4</f>
        <v>211</v>
      </c>
      <c r="H111" s="117">
        <f>G50+8</f>
        <v>215</v>
      </c>
      <c r="I111" s="117">
        <f>G50+12</f>
        <v>219</v>
      </c>
    </row>
    <row r="112" spans="1:9">
      <c r="C112" s="122">
        <f>G87/100-0.1</f>
        <v>0.57488444821428575</v>
      </c>
      <c r="D112" s="106">
        <f>((E50*(G50-8))-(E51/100*E50*(G50-8)))-((E55*(G55+10))+((G87-10)*(E50-E55)))</f>
        <v>117.15622071428561</v>
      </c>
      <c r="E112" s="106">
        <f>((E50*(G50-4))-(E51/100*E50*(G50-4)))-((E55*(G55+10))+((G87-10)*(E50-E55)))</f>
        <v>160.71622071428556</v>
      </c>
      <c r="F112" s="106">
        <f>((E50*(G50))-(E51/100*E50*(G50)))-((E55*(G55+10))+((G87-10)*(E50-E55)))</f>
        <v>204.2762207142855</v>
      </c>
      <c r="G112" s="106">
        <f>((E50*(G50+4))-(E51/100*E50*(G50+4)))-((E55*(G55+10))+((G87-10)*(E50-E55)))</f>
        <v>247.83622071428545</v>
      </c>
      <c r="H112" s="106">
        <f>((E50*(G50+8))-(E51/100*E50*(G50+8)))-((E55*(G55+10))+((G87-10)*(E50-E55)))</f>
        <v>291.39622071428539</v>
      </c>
      <c r="I112" s="106">
        <f>((E50*I111)-(E51/100*E50*I111))-((E55*E110)+(C112*100*(E50-E55)))</f>
        <v>334.95622071428534</v>
      </c>
    </row>
    <row r="113" spans="1:11">
      <c r="C113" s="122">
        <f>G87/100-0.05</f>
        <v>0.62488444821428568</v>
      </c>
      <c r="D113" s="106">
        <f>((E50*(G50-8))-(E51/100*E50*(G50-8)))-((E55*(G55+10))+((G87-5)*(E50-E55)))</f>
        <v>97.15622071428561</v>
      </c>
      <c r="E113" s="106">
        <f>((E50*(G50-4))-(E51/100*E50*(G50-4)))-((E55*(G55+10))+((G87-5)*(E50-E55)))</f>
        <v>140.71622071428556</v>
      </c>
      <c r="F113" s="106">
        <f>((E50*(G50))-(E51/100*E50*(G50)))-((E55*(G55+10))+((G87-5)*(E50-E55)))</f>
        <v>184.2762207142855</v>
      </c>
      <c r="G113" s="106">
        <f>((E50*(G50+4))-(E51/100*E50*(G50+4)))-((E55*(G55+10))+((G87-5)*(E50-E55)))</f>
        <v>227.83622071428545</v>
      </c>
      <c r="H113" s="106">
        <f>((E50*(G50+8))-(E51/100*E50*(G50+8)))-((E55*(G55+10))+((G87-5)*(E50-E55)))</f>
        <v>271.39622071428539</v>
      </c>
      <c r="I113" s="106">
        <f>((E50*(G50+12))-(E51/100*E50*(G50+12)))-((E55*(G55+10))+((G87-5)*(E50-E55)))</f>
        <v>314.95622071428534</v>
      </c>
    </row>
    <row r="114" spans="1:11">
      <c r="C114" s="122">
        <f>G87/100</f>
        <v>0.67488444821428573</v>
      </c>
      <c r="D114" s="106">
        <f>((E50*(G50-8))-(E51/100*E50*(G50-8)))-((E55*(G55+10))+(G87*(E50-E55)))</f>
        <v>77.15622071428561</v>
      </c>
      <c r="E114" s="106">
        <f>((E50*(G50-4))-(E51/100*E50*(G50-4)))-((E55*(G55+10))+(G87*(E50-E55)))</f>
        <v>120.71622071428556</v>
      </c>
      <c r="F114" s="106">
        <f>((E50*G50)-(E51/100*E50*G50))-((E55*(G55+10))+(G87*(E50-E55)))</f>
        <v>164.2762207142855</v>
      </c>
      <c r="G114" s="106">
        <f>((E50*(G50+4))-(E51/100*E50*(G50+4)))-((E55*(G55+10))+(G87*(E50-E55)))</f>
        <v>207.83622071428545</v>
      </c>
      <c r="H114" s="106">
        <f>((E50*(G50+8))-(E51/100*E50*(G50+8)))-((E55*(G55+10))+(G87*(E50-E55)))</f>
        <v>251.39622071428539</v>
      </c>
      <c r="I114" s="106">
        <f>((E50*(G50+12))-(E51/100*E50*(G50+12)))-((E55*(G55+10))+(G87*(E50-E55)))</f>
        <v>294.95622071428534</v>
      </c>
    </row>
    <row r="115" spans="1:11">
      <c r="C115" s="122">
        <f>G87/100+0.05</f>
        <v>0.72488444821428577</v>
      </c>
      <c r="D115" s="106">
        <f>((E50*(G50-8))-(E51/100*E50*(G50-8)))-((E55*(G55+10))+((G87+5)*(E50-E55)))</f>
        <v>57.15622071428561</v>
      </c>
      <c r="E115" s="106">
        <f>((E50*(G50-4))-(E51/100*E50*(G50-4)))-((E55*(G55+10))+((G87+5)*(E50-E55)))</f>
        <v>100.71622071428556</v>
      </c>
      <c r="F115" s="106">
        <f>((E50*(G50))-(E51/100*E50*(G50)))-((E55*(G55+10))+((G87+5)*(E50-E55)))</f>
        <v>144.2762207142855</v>
      </c>
      <c r="G115" s="106">
        <f>((E50*(G50+4))-(E51/100*E50*(G50+4)))-((E55*(G55+10))+((G87+5)*(E50-E55)))</f>
        <v>187.83622071428545</v>
      </c>
      <c r="H115" s="106">
        <f>((E50*(G50+8))-(E51/100*E50*(G50+8)))-((E55*(G55+10))+((G87+5)*(E50-E55)))</f>
        <v>231.39622071428539</v>
      </c>
      <c r="I115" s="106">
        <f>((E50*(G50+12))-(E51/100*E50*(G50+12)))-((E55*(G55+10))+((G87+5)*(E50-E55)))</f>
        <v>274.95622071428534</v>
      </c>
    </row>
    <row r="116" spans="1:11">
      <c r="C116" s="122">
        <f>G87/100+0.1</f>
        <v>0.7748844482142857</v>
      </c>
      <c r="D116" s="106">
        <f>((E50*(G50-8))-(E51/100*E50*(G50-8)))-((E55*(G55+10))+((G87+10)*(E50-E55)))</f>
        <v>37.15622071428561</v>
      </c>
      <c r="E116" s="106">
        <f>((E50*(G50-4))-(E51/100*E69*(G50-4)))-((E55*(G55+10))+((G87+10)*(E50-E55)))</f>
        <v>103.04622071428548</v>
      </c>
      <c r="F116" s="106">
        <f>((E50*(G50))-(E51/100*E50*(G50)))-((E55*(G55+10))+((G87+10)*(E50-E55)))</f>
        <v>124.2762207142855</v>
      </c>
      <c r="G116" s="106">
        <f>((E50*(G50+4))-(E51/100*E50*(G50+4)))-((E55*(G55+10))+((G87+10)*(E50-E55)))</f>
        <v>167.83622071428545</v>
      </c>
      <c r="H116" s="106">
        <f>((E50*(G50+8))-(E51/100*E50*(G50+8)))-((E55*(G55+10))+((G87+10)*(E50-E55)))</f>
        <v>211.39622071428539</v>
      </c>
      <c r="I116" s="106">
        <f>((E50*(G50+12))-(E51/100*E50*(G50+12)))-((E55*(G55+10))+((G87+10)*(E50-E55)))</f>
        <v>254.95622071428534</v>
      </c>
    </row>
    <row r="118" spans="1:11">
      <c r="A118" s="5"/>
      <c r="B118" s="5"/>
      <c r="C118" s="5"/>
      <c r="D118" s="5"/>
      <c r="E118" s="5"/>
      <c r="F118" s="5"/>
      <c r="G118" s="5"/>
      <c r="H118" s="5"/>
      <c r="I118" s="5"/>
      <c r="K118" s="23"/>
    </row>
    <row r="119" spans="1:11">
      <c r="A119" s="5"/>
      <c r="B119" s="5"/>
      <c r="C119" s="5"/>
      <c r="D119" s="5"/>
      <c r="E119" s="5"/>
      <c r="F119" s="5"/>
      <c r="G119" s="5"/>
      <c r="H119" s="5"/>
      <c r="I119" s="5"/>
      <c r="K119" s="23"/>
    </row>
    <row r="120" spans="1:11">
      <c r="A120" s="23"/>
      <c r="K120" s="23"/>
    </row>
    <row r="121" spans="1:11">
      <c r="A121" s="127"/>
      <c r="B121" s="127"/>
      <c r="C121" s="127"/>
      <c r="D121" s="127"/>
      <c r="E121" s="127"/>
      <c r="F121" s="127"/>
      <c r="G121" s="127"/>
      <c r="H121" s="127"/>
      <c r="I121" s="127"/>
      <c r="K121" s="23"/>
    </row>
    <row r="122" spans="1:11">
      <c r="A122" s="127"/>
      <c r="B122" s="146"/>
      <c r="C122" s="146"/>
      <c r="D122" s="146"/>
      <c r="E122" s="146"/>
      <c r="F122" s="146"/>
      <c r="G122" s="146"/>
      <c r="H122" s="146"/>
      <c r="I122" s="146"/>
    </row>
    <row r="123" spans="1:11">
      <c r="G123" s="45"/>
    </row>
    <row r="124" spans="1:11">
      <c r="A124" s="5"/>
      <c r="B124" s="5"/>
      <c r="C124" s="5"/>
      <c r="D124" s="5"/>
      <c r="E124" s="5"/>
      <c r="F124" s="5"/>
      <c r="G124" s="5"/>
      <c r="H124" s="5"/>
      <c r="I124" s="5"/>
    </row>
    <row r="125" spans="1:11">
      <c r="A125" s="5"/>
      <c r="B125" s="5"/>
      <c r="C125" s="5"/>
      <c r="D125" s="5"/>
      <c r="E125" s="5"/>
      <c r="F125" s="5"/>
      <c r="G125" s="5"/>
      <c r="H125" s="5"/>
      <c r="I125" s="5"/>
    </row>
    <row r="126" spans="1:11">
      <c r="A126" s="23"/>
      <c r="G126" s="45"/>
    </row>
    <row r="128" spans="1:11">
      <c r="A128" s="125"/>
    </row>
    <row r="130" spans="1:1">
      <c r="A130" s="23"/>
    </row>
    <row r="131" spans="1:1">
      <c r="A131" s="125"/>
    </row>
    <row r="132" spans="1:1">
      <c r="A132" s="23"/>
    </row>
    <row r="143" spans="1:1">
      <c r="A143" s="23"/>
    </row>
  </sheetData>
  <sheetProtection algorithmName="SHA-512" hashValue="Zvo2QUCVEeHamOpw1OY/c+IDBrRTEDx+dLg6km00npP7a7Bq21CfNooHU6OyG1q+xzx6xfHQBLJnbAas8Sf7Wg==" saltValue="aORTHmuuGTZLCqYkEr2SNw==" spinCount="100000" sheet="1" objects="1" scenarios="1"/>
  <conditionalFormatting sqref="D94:I98">
    <cfRule type="colorScale" priority="6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4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03:I107">
    <cfRule type="colorScale" priority="5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12:I1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H22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scale="94" fitToWidth="0" fitToHeight="0" orientation="portrait" r:id="rId1"/>
  <rowBreaks count="1" manualBreakCount="1">
    <brk id="83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lorScale" priority="33" id="{09A6B1E1-8B2D-4C50-8F75-EAE7DCCFC44B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D94:I98</xm:sqref>
        </x14:conditionalFormatting>
        <x14:conditionalFormatting xmlns:xm="http://schemas.microsoft.com/office/excel/2006/main">
          <x14:cfRule type="colorScale" priority="34" id="{06CE0994-48C1-4C12-9A91-3D046E79DF3A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D103:I107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D100"/>
  </sheetPr>
  <dimension ref="A2:M143"/>
  <sheetViews>
    <sheetView workbookViewId="0">
      <selection activeCell="C6" sqref="C6"/>
    </sheetView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1" width="10.6640625" style="4" customWidth="1"/>
    <col min="12" max="12" width="10.83203125" style="4" customWidth="1"/>
    <col min="13" max="16" width="10.6640625" style="4" customWidth="1"/>
    <col min="17" max="16384" width="17.1640625" style="4"/>
  </cols>
  <sheetData>
    <row r="2" spans="1:10" ht="21" customHeight="1">
      <c r="A2" s="174" t="s">
        <v>326</v>
      </c>
      <c r="B2" s="174"/>
      <c r="C2" s="174"/>
      <c r="D2" s="174"/>
      <c r="E2" s="174"/>
      <c r="F2" s="174"/>
    </row>
    <row r="3" spans="1:10" ht="19" customHeight="1">
      <c r="A3" s="174" t="s">
        <v>376</v>
      </c>
      <c r="B3" s="174"/>
      <c r="C3" s="174"/>
      <c r="D3" s="174"/>
      <c r="E3" s="174"/>
      <c r="F3" s="174"/>
    </row>
    <row r="4" spans="1:10" ht="16" customHeight="1">
      <c r="A4" s="173"/>
      <c r="B4" s="173"/>
      <c r="C4" s="173"/>
      <c r="D4" s="173"/>
      <c r="E4" s="173"/>
      <c r="F4" s="173"/>
    </row>
    <row r="5" spans="1:10" ht="16" customHeight="1">
      <c r="A5" s="173"/>
      <c r="B5" s="173"/>
      <c r="C5" s="173"/>
      <c r="D5" s="173"/>
      <c r="E5" s="173"/>
      <c r="F5" s="173"/>
    </row>
    <row r="6" spans="1:10" ht="16" customHeight="1">
      <c r="A6" s="173"/>
      <c r="B6" s="173"/>
      <c r="C6" s="173"/>
      <c r="D6" s="173"/>
      <c r="E6" s="173"/>
      <c r="F6" s="173"/>
    </row>
    <row r="7" spans="1:10">
      <c r="A7" s="178">
        <f>+'Step 1 - Feed Cost Input Sheet '!F23</f>
        <v>45229</v>
      </c>
      <c r="B7" s="178"/>
    </row>
    <row r="9" spans="1:10" ht="17" thickBot="1">
      <c r="A9" s="23" t="s">
        <v>282</v>
      </c>
    </row>
    <row r="10" spans="1:10" s="27" customFormat="1" ht="17" thickBot="1">
      <c r="A10" s="24" t="s">
        <v>0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24" t="s">
        <v>2</v>
      </c>
    </row>
    <row r="11" spans="1:10">
      <c r="A11" s="26" t="s">
        <v>3</v>
      </c>
      <c r="E11" s="28" t="s">
        <v>4</v>
      </c>
      <c r="F11" s="26" t="s">
        <v>9</v>
      </c>
    </row>
    <row r="12" spans="1:10">
      <c r="A12" s="23" t="s">
        <v>295</v>
      </c>
      <c r="D12" s="12">
        <v>14</v>
      </c>
      <c r="E12" s="28" t="s">
        <v>4</v>
      </c>
      <c r="F12" s="23" t="s">
        <v>85</v>
      </c>
      <c r="I12" s="12">
        <v>6</v>
      </c>
      <c r="J12" s="155" t="s">
        <v>5</v>
      </c>
    </row>
    <row r="13" spans="1:10">
      <c r="A13" s="23" t="s">
        <v>296</v>
      </c>
      <c r="D13" s="152">
        <v>183</v>
      </c>
      <c r="E13" s="28" t="s">
        <v>4</v>
      </c>
      <c r="F13" s="23" t="s">
        <v>86</v>
      </c>
      <c r="I13" s="152">
        <v>6</v>
      </c>
      <c r="J13" s="155" t="s">
        <v>6</v>
      </c>
    </row>
    <row r="14" spans="1:10">
      <c r="A14" s="23" t="s">
        <v>297</v>
      </c>
      <c r="D14" s="12">
        <v>1</v>
      </c>
      <c r="E14" s="28" t="s">
        <v>4</v>
      </c>
      <c r="F14" s="23" t="s">
        <v>87</v>
      </c>
      <c r="I14" s="152">
        <v>100</v>
      </c>
      <c r="J14" s="155" t="s">
        <v>7</v>
      </c>
    </row>
    <row r="15" spans="1:10">
      <c r="D15" s="101"/>
      <c r="E15" s="28" t="s">
        <v>4</v>
      </c>
      <c r="I15" s="101"/>
      <c r="J15" s="155" t="s">
        <v>8</v>
      </c>
    </row>
    <row r="16" spans="1:10">
      <c r="A16" s="26" t="s">
        <v>38</v>
      </c>
      <c r="D16" s="101"/>
      <c r="E16" s="28" t="s">
        <v>4</v>
      </c>
      <c r="F16" s="26" t="s">
        <v>41</v>
      </c>
      <c r="I16" s="101"/>
    </row>
    <row r="17" spans="1:13">
      <c r="A17" s="23" t="s">
        <v>298</v>
      </c>
      <c r="D17" s="12">
        <v>11</v>
      </c>
      <c r="E17" s="28" t="s">
        <v>4</v>
      </c>
      <c r="F17" s="23" t="s">
        <v>306</v>
      </c>
      <c r="I17" s="126">
        <v>3</v>
      </c>
      <c r="J17" s="4">
        <f>+I17*30</f>
        <v>90</v>
      </c>
      <c r="K17" s="4" t="s">
        <v>116</v>
      </c>
    </row>
    <row r="18" spans="1:13">
      <c r="A18" s="23" t="s">
        <v>299</v>
      </c>
      <c r="D18" s="152">
        <v>207</v>
      </c>
      <c r="E18" s="28" t="s">
        <v>4</v>
      </c>
      <c r="F18" s="4" t="s">
        <v>251</v>
      </c>
      <c r="I18" s="126">
        <v>0</v>
      </c>
    </row>
    <row r="19" spans="1:13">
      <c r="D19" s="101"/>
      <c r="E19" s="28" t="s">
        <v>4</v>
      </c>
    </row>
    <row r="20" spans="1:13" ht="17" thickBot="1">
      <c r="A20" s="26" t="s">
        <v>39</v>
      </c>
      <c r="D20" s="101"/>
      <c r="E20" s="28" t="s">
        <v>4</v>
      </c>
      <c r="F20" s="27" t="s">
        <v>117</v>
      </c>
    </row>
    <row r="21" spans="1:13" ht="17.25" customHeight="1" thickTop="1" thickBot="1">
      <c r="A21" s="23" t="s">
        <v>285</v>
      </c>
      <c r="D21" s="152">
        <v>20</v>
      </c>
      <c r="E21" s="28" t="s">
        <v>4</v>
      </c>
      <c r="F21" s="4" t="s">
        <v>147</v>
      </c>
      <c r="I21" s="74">
        <v>0</v>
      </c>
      <c r="J21" s="176" t="s">
        <v>361</v>
      </c>
      <c r="K21" s="176"/>
      <c r="L21" s="176"/>
      <c r="M21" s="176"/>
    </row>
    <row r="22" spans="1:13" ht="17" thickTop="1">
      <c r="A22" s="23" t="s">
        <v>286</v>
      </c>
      <c r="D22" s="152">
        <v>5</v>
      </c>
      <c r="E22" s="28" t="s">
        <v>4</v>
      </c>
      <c r="F22" s="4" t="s">
        <v>307</v>
      </c>
      <c r="I22" s="75">
        <v>90</v>
      </c>
      <c r="J22" s="176" t="s">
        <v>368</v>
      </c>
      <c r="K22" s="176"/>
      <c r="L22" s="176"/>
      <c r="M22" s="176"/>
    </row>
    <row r="23" spans="1:13" ht="17" thickBot="1">
      <c r="A23" s="23" t="s">
        <v>287</v>
      </c>
      <c r="D23" s="152">
        <v>15.75</v>
      </c>
      <c r="E23" s="28" t="s">
        <v>4</v>
      </c>
      <c r="F23" s="4" t="s">
        <v>118</v>
      </c>
      <c r="I23" s="69">
        <v>4</v>
      </c>
      <c r="J23" s="176" t="s">
        <v>369</v>
      </c>
      <c r="K23" s="176"/>
      <c r="L23" s="176"/>
      <c r="M23" s="176"/>
    </row>
    <row r="24" spans="1:13" ht="18" thickTop="1" thickBot="1">
      <c r="A24" s="4" t="s">
        <v>40</v>
      </c>
      <c r="D24" s="152">
        <v>0</v>
      </c>
      <c r="E24" s="28" t="s">
        <v>4</v>
      </c>
      <c r="F24" s="4" t="s">
        <v>120</v>
      </c>
      <c r="I24" s="76">
        <v>10</v>
      </c>
      <c r="J24" s="176"/>
      <c r="K24" s="176"/>
      <c r="L24" s="176"/>
      <c r="M24" s="176"/>
    </row>
    <row r="25" spans="1:13" ht="15.75" customHeight="1" thickTop="1">
      <c r="A25" s="8" t="s">
        <v>67</v>
      </c>
      <c r="B25" s="8"/>
      <c r="C25" s="8"/>
      <c r="D25" s="157">
        <v>0</v>
      </c>
      <c r="E25" s="8"/>
      <c r="F25" s="8" t="s">
        <v>122</v>
      </c>
      <c r="G25" s="8"/>
      <c r="H25" s="8"/>
      <c r="I25" s="77">
        <v>25</v>
      </c>
    </row>
    <row r="26" spans="1:13" ht="16" customHeight="1">
      <c r="A26" s="27" t="s">
        <v>69</v>
      </c>
      <c r="D26" s="28"/>
      <c r="E26" s="23"/>
      <c r="H26" s="5"/>
    </row>
    <row r="27" spans="1:13" ht="68">
      <c r="C27" s="8" t="s">
        <v>70</v>
      </c>
      <c r="D27" s="8"/>
      <c r="E27" s="8"/>
      <c r="F27" s="153" t="s">
        <v>112</v>
      </c>
      <c r="G27" s="153" t="s">
        <v>113</v>
      </c>
      <c r="H27" s="153" t="s">
        <v>114</v>
      </c>
      <c r="I27" s="8" t="s">
        <v>115</v>
      </c>
    </row>
    <row r="28" spans="1:13">
      <c r="C28" s="27" t="str">
        <f>+'Step 1 - Feed Cost Input Sheet '!A24</f>
        <v>20% Liquid</v>
      </c>
      <c r="D28" s="82"/>
      <c r="E28" s="82"/>
      <c r="F28" s="193">
        <v>1.33</v>
      </c>
      <c r="G28" s="4">
        <f>+(F28/100)*$J$17</f>
        <v>1.1970000000000001</v>
      </c>
      <c r="H28" s="147">
        <f>+'Step 1 - Feed Cost Input Sheet '!B24</f>
        <v>15</v>
      </c>
      <c r="I28" s="4" t="s">
        <v>71</v>
      </c>
      <c r="J28" s="29" t="s">
        <v>370</v>
      </c>
      <c r="K28" s="29"/>
      <c r="L28" s="29"/>
      <c r="M28" s="29"/>
    </row>
    <row r="29" spans="1:13">
      <c r="C29" s="27" t="str">
        <f>+'Step 1 - Feed Cost Input Sheet '!A25</f>
        <v>Mineral &amp; Salt</v>
      </c>
      <c r="D29" s="82"/>
      <c r="E29" s="82"/>
      <c r="F29" s="193">
        <v>0</v>
      </c>
      <c r="G29" s="4">
        <f>+(F29/100)*$J$17</f>
        <v>0</v>
      </c>
      <c r="H29" s="147">
        <f>+'Step 1 - Feed Cost Input Sheet '!B25</f>
        <v>22</v>
      </c>
      <c r="I29" s="4" t="s">
        <v>71</v>
      </c>
      <c r="J29" s="29" t="s">
        <v>371</v>
      </c>
      <c r="K29" s="29"/>
      <c r="L29" s="29"/>
      <c r="M29" s="29"/>
    </row>
    <row r="30" spans="1:13">
      <c r="C30" s="27" t="str">
        <f>+'Step 1 - Feed Cost Input Sheet '!A26</f>
        <v>Dry Corn</v>
      </c>
      <c r="D30" s="82"/>
      <c r="E30" s="82"/>
      <c r="F30" s="193">
        <v>6.77</v>
      </c>
      <c r="G30" s="4">
        <f>+(F30/56)*$J$17</f>
        <v>10.880357142857143</v>
      </c>
      <c r="H30" s="147">
        <f>+'Step 1 - Feed Cost Input Sheet '!B26</f>
        <v>4</v>
      </c>
      <c r="I30" s="4" t="s">
        <v>72</v>
      </c>
      <c r="J30" s="29" t="s">
        <v>372</v>
      </c>
      <c r="K30" s="29"/>
      <c r="L30" s="29"/>
      <c r="M30" s="29"/>
    </row>
    <row r="31" spans="1:13">
      <c r="C31" s="27" t="str">
        <f>+'Step 1 - Feed Cost Input Sheet '!A27</f>
        <v>High Moisture Corn</v>
      </c>
      <c r="D31" s="82"/>
      <c r="E31" s="82"/>
      <c r="F31" s="193">
        <v>3.48</v>
      </c>
      <c r="G31" s="4">
        <f>+(F31/56)*$J$17</f>
        <v>5.5928571428571434</v>
      </c>
      <c r="H31" s="147">
        <f>+'Step 1 - Feed Cost Input Sheet '!B27</f>
        <v>2.25</v>
      </c>
      <c r="I31" s="4" t="s">
        <v>72</v>
      </c>
      <c r="J31" s="29" t="s">
        <v>373</v>
      </c>
      <c r="K31" s="29"/>
      <c r="L31" s="29"/>
      <c r="M31" s="29"/>
    </row>
    <row r="32" spans="1:13">
      <c r="C32" s="27" t="str">
        <f>+'Step 1 - Feed Cost Input Sheet '!A28</f>
        <v>Hay</v>
      </c>
      <c r="D32" s="82"/>
      <c r="E32" s="82"/>
      <c r="F32" s="193">
        <v>0.56999999999999995</v>
      </c>
      <c r="G32" s="4">
        <f>+(F32/2000)*$J$17</f>
        <v>2.5649999999999999E-2</v>
      </c>
      <c r="H32" s="147">
        <f>+'Step 1 - Feed Cost Input Sheet '!B28</f>
        <v>200</v>
      </c>
      <c r="I32" s="4" t="s">
        <v>73</v>
      </c>
    </row>
    <row r="33" spans="1:9">
      <c r="C33" s="27" t="str">
        <f>+'Step 1 - Feed Cost Input Sheet '!A29</f>
        <v>Alfalfa</v>
      </c>
      <c r="D33" s="82"/>
      <c r="E33" s="82"/>
      <c r="F33" s="193">
        <v>0</v>
      </c>
      <c r="G33" s="4">
        <f>+(F33/2000)*$J$17</f>
        <v>0</v>
      </c>
      <c r="H33" s="147">
        <f>+'Step 1 - Feed Cost Input Sheet '!B29</f>
        <v>250</v>
      </c>
      <c r="I33" s="4" t="s">
        <v>73</v>
      </c>
    </row>
    <row r="34" spans="1:9">
      <c r="C34" s="27" t="str">
        <f>+'Step 1 - Feed Cost Input Sheet '!A30</f>
        <v>Silage</v>
      </c>
      <c r="D34" s="82"/>
      <c r="E34" s="82"/>
      <c r="F34" s="193">
        <v>1.83</v>
      </c>
      <c r="G34" s="4">
        <f>+(F34/2000)*$J$17</f>
        <v>8.2350000000000007E-2</v>
      </c>
      <c r="H34" s="147">
        <f>+'Step 1 - Feed Cost Input Sheet '!B30</f>
        <v>40</v>
      </c>
      <c r="I34" s="4" t="s">
        <v>73</v>
      </c>
    </row>
    <row r="35" spans="1:9">
      <c r="C35" s="27" t="str">
        <f>+'Step 1 - Feed Cost Input Sheet '!A31</f>
        <v>Corn Stover</v>
      </c>
      <c r="D35" s="82"/>
      <c r="E35" s="82"/>
      <c r="F35" s="193">
        <v>2.0499999999999998</v>
      </c>
      <c r="G35" s="4">
        <f>+(F35/2000)*$J$17</f>
        <v>9.2249999999999985E-2</v>
      </c>
      <c r="H35" s="147">
        <f>+'Step 1 - Feed Cost Input Sheet '!B31</f>
        <v>90</v>
      </c>
      <c r="I35" s="4" t="s">
        <v>73</v>
      </c>
    </row>
    <row r="36" spans="1:9">
      <c r="C36" s="27" t="str">
        <f>+'Step 1 - Feed Cost Input Sheet '!A32</f>
        <v>Dried Distillers</v>
      </c>
      <c r="D36" s="82"/>
      <c r="E36" s="82"/>
      <c r="F36" s="193">
        <v>1.73</v>
      </c>
      <c r="G36" s="4">
        <f>+(F36/2000)*$J$17</f>
        <v>7.7850000000000003E-2</v>
      </c>
      <c r="H36" s="147">
        <f>+'Step 1 - Feed Cost Input Sheet '!B32</f>
        <v>125</v>
      </c>
      <c r="I36" s="4" t="s">
        <v>73</v>
      </c>
    </row>
    <row r="37" spans="1:9">
      <c r="C37" s="27" t="str">
        <f>+'Step 1 - Feed Cost Input Sheet '!A33</f>
        <v>Pasture</v>
      </c>
      <c r="D37" s="82"/>
      <c r="E37" s="82"/>
      <c r="F37" s="193">
        <v>0</v>
      </c>
      <c r="G37" s="4">
        <f>I18</f>
        <v>0</v>
      </c>
      <c r="H37" s="147">
        <f>+'Step 1 - Feed Cost Input Sheet '!B33</f>
        <v>55</v>
      </c>
      <c r="I37" s="4" t="s">
        <v>153</v>
      </c>
    </row>
    <row r="38" spans="1:9">
      <c r="C38" s="27"/>
      <c r="D38" s="82"/>
      <c r="E38" s="82"/>
      <c r="F38" s="156"/>
      <c r="H38" s="147"/>
    </row>
    <row r="39" spans="1:9" ht="16" customHeight="1">
      <c r="A39" s="192" t="s">
        <v>310</v>
      </c>
      <c r="B39" s="174"/>
      <c r="C39" s="174"/>
      <c r="D39" s="174"/>
      <c r="E39" s="174"/>
      <c r="F39" s="174"/>
      <c r="G39" s="191"/>
      <c r="H39" s="147"/>
    </row>
    <row r="40" spans="1:9" ht="16" customHeight="1">
      <c r="A40" s="192" t="s">
        <v>376</v>
      </c>
      <c r="B40" s="174"/>
      <c r="C40" s="174"/>
      <c r="D40" s="174"/>
      <c r="E40" s="174"/>
      <c r="F40" s="174"/>
      <c r="G40" s="191"/>
      <c r="H40" s="147"/>
    </row>
    <row r="41" spans="1:9" ht="16" customHeight="1">
      <c r="A41" s="173"/>
      <c r="B41" s="173"/>
      <c r="C41" s="173"/>
      <c r="D41" s="173"/>
      <c r="E41" s="173"/>
      <c r="F41" s="173"/>
      <c r="G41" s="191"/>
      <c r="H41" s="147"/>
    </row>
    <row r="42" spans="1:9" ht="16" customHeight="1">
      <c r="A42" s="173"/>
      <c r="B42" s="173"/>
      <c r="C42" s="173"/>
      <c r="D42" s="173"/>
      <c r="E42" s="173"/>
      <c r="F42" s="173"/>
      <c r="G42" s="191"/>
      <c r="H42" s="147"/>
    </row>
    <row r="43" spans="1:9" ht="16" customHeight="1">
      <c r="A43" s="173"/>
      <c r="B43" s="173"/>
      <c r="C43" s="173"/>
      <c r="D43" s="173"/>
      <c r="E43" s="173"/>
      <c r="F43" s="173"/>
      <c r="G43" s="191"/>
      <c r="H43" s="147"/>
    </row>
    <row r="44" spans="1:9">
      <c r="A44" s="178">
        <f>+'Step 1 - Feed Cost Input Sheet '!F23</f>
        <v>45229</v>
      </c>
      <c r="B44" s="178"/>
      <c r="H44" s="147"/>
    </row>
    <row r="45" spans="1:9">
      <c r="A45" s="23" t="s">
        <v>10</v>
      </c>
    </row>
    <row r="46" spans="1:9">
      <c r="B46" s="7" t="s">
        <v>37</v>
      </c>
      <c r="C46" s="98">
        <f>(D12-D17)*100</f>
        <v>300</v>
      </c>
      <c r="D46" s="23" t="s">
        <v>176</v>
      </c>
      <c r="E46" s="99">
        <f>I17</f>
        <v>3</v>
      </c>
      <c r="F46" s="4" t="s">
        <v>179</v>
      </c>
      <c r="G46" s="4">
        <f>C46/(I17*365/12)</f>
        <v>3.2876712328767121</v>
      </c>
      <c r="H46" s="4" t="s">
        <v>178</v>
      </c>
    </row>
    <row r="47" spans="1:9">
      <c r="A47" s="26" t="s">
        <v>11</v>
      </c>
    </row>
    <row r="48" spans="1:9">
      <c r="B48" s="23" t="s">
        <v>42</v>
      </c>
      <c r="E48" s="4">
        <f>D12</f>
        <v>14</v>
      </c>
      <c r="F48" s="11" t="s">
        <v>43</v>
      </c>
      <c r="G48" s="45">
        <f>D13</f>
        <v>183</v>
      </c>
      <c r="I48" s="105">
        <f>E48*G48</f>
        <v>2562</v>
      </c>
    </row>
    <row r="49" spans="1:9" ht="17" thickBot="1">
      <c r="B49" s="23" t="s">
        <v>44</v>
      </c>
      <c r="D49" s="7" t="s">
        <v>29</v>
      </c>
      <c r="E49" s="4">
        <f>D14</f>
        <v>1</v>
      </c>
      <c r="F49" s="23" t="s">
        <v>45</v>
      </c>
      <c r="G49" s="45">
        <f>I48</f>
        <v>2562</v>
      </c>
      <c r="H49" s="106" t="s">
        <v>27</v>
      </c>
      <c r="I49" s="107">
        <f>-E49*G49/100</f>
        <v>-25.62</v>
      </c>
    </row>
    <row r="50" spans="1:9" ht="17" thickBot="1">
      <c r="D50" s="23" t="s">
        <v>12</v>
      </c>
      <c r="I50" s="108">
        <f>SUM(I48:I49)</f>
        <v>2536.38</v>
      </c>
    </row>
    <row r="51" spans="1:9">
      <c r="I51" s="46"/>
    </row>
    <row r="52" spans="1:9">
      <c r="A52" s="26" t="s">
        <v>13</v>
      </c>
      <c r="I52" s="46"/>
    </row>
    <row r="53" spans="1:9">
      <c r="B53" s="23" t="s">
        <v>46</v>
      </c>
      <c r="E53" s="4">
        <f>D17</f>
        <v>11</v>
      </c>
      <c r="F53" s="11" t="s">
        <v>47</v>
      </c>
      <c r="G53" s="45">
        <f>+D18</f>
        <v>207</v>
      </c>
      <c r="I53" s="107">
        <f>E53*G53</f>
        <v>2277</v>
      </c>
    </row>
    <row r="54" spans="1:9">
      <c r="B54" s="23" t="s">
        <v>68</v>
      </c>
      <c r="I54" s="109">
        <f>SUM(H55:H64)</f>
        <v>100.51810714285713</v>
      </c>
    </row>
    <row r="55" spans="1:9">
      <c r="B55" s="23" t="str">
        <f t="shared" ref="B55:B64" si="0">+C28</f>
        <v>20% Liquid</v>
      </c>
      <c r="D55" s="23" t="s">
        <v>14</v>
      </c>
      <c r="E55" s="4">
        <f t="shared" ref="E55:E64" si="1">+G28</f>
        <v>1.1970000000000001</v>
      </c>
      <c r="F55" s="11" t="s">
        <v>15</v>
      </c>
      <c r="G55" s="45">
        <f t="shared" ref="G55:G64" si="2">+H28</f>
        <v>15</v>
      </c>
      <c r="H55" s="45">
        <f t="shared" ref="H55:H63" si="3">E55*G55</f>
        <v>17.955000000000002</v>
      </c>
      <c r="I55" s="46"/>
    </row>
    <row r="56" spans="1:9">
      <c r="B56" s="23" t="str">
        <f t="shared" si="0"/>
        <v>Mineral &amp; Salt</v>
      </c>
      <c r="E56" s="4">
        <f t="shared" si="1"/>
        <v>0</v>
      </c>
      <c r="F56" s="11" t="s">
        <v>15</v>
      </c>
      <c r="G56" s="45">
        <f t="shared" si="2"/>
        <v>22</v>
      </c>
      <c r="H56" s="45">
        <f t="shared" si="3"/>
        <v>0</v>
      </c>
      <c r="I56" s="46"/>
    </row>
    <row r="57" spans="1:9">
      <c r="B57" s="23" t="str">
        <f t="shared" si="0"/>
        <v>Dry Corn</v>
      </c>
      <c r="E57" s="4">
        <f t="shared" si="1"/>
        <v>10.880357142857143</v>
      </c>
      <c r="F57" s="11" t="s">
        <v>49</v>
      </c>
      <c r="G57" s="45">
        <f t="shared" si="2"/>
        <v>4</v>
      </c>
      <c r="H57" s="45">
        <f t="shared" si="3"/>
        <v>43.521428571428572</v>
      </c>
      <c r="I57" s="46"/>
    </row>
    <row r="58" spans="1:9">
      <c r="B58" s="23" t="str">
        <f t="shared" si="0"/>
        <v>High Moisture Corn</v>
      </c>
      <c r="E58" s="4">
        <f t="shared" si="1"/>
        <v>5.5928571428571434</v>
      </c>
      <c r="F58" s="11" t="s">
        <v>49</v>
      </c>
      <c r="G58" s="45">
        <f t="shared" si="2"/>
        <v>2.25</v>
      </c>
      <c r="H58" s="45">
        <f t="shared" si="3"/>
        <v>12.583928571428572</v>
      </c>
      <c r="I58" s="46"/>
    </row>
    <row r="59" spans="1:9">
      <c r="B59" s="23" t="str">
        <f t="shared" si="0"/>
        <v>Hay</v>
      </c>
      <c r="E59" s="4">
        <f t="shared" si="1"/>
        <v>2.5649999999999999E-2</v>
      </c>
      <c r="F59" s="11" t="s">
        <v>50</v>
      </c>
      <c r="G59" s="45">
        <f t="shared" si="2"/>
        <v>200</v>
      </c>
      <c r="H59" s="45">
        <f t="shared" si="3"/>
        <v>5.13</v>
      </c>
      <c r="I59" s="46"/>
    </row>
    <row r="60" spans="1:9">
      <c r="B60" s="23" t="str">
        <f t="shared" si="0"/>
        <v>Alfalfa</v>
      </c>
      <c r="E60" s="4">
        <f t="shared" si="1"/>
        <v>0</v>
      </c>
      <c r="F60" s="11" t="s">
        <v>50</v>
      </c>
      <c r="G60" s="45">
        <f t="shared" si="2"/>
        <v>250</v>
      </c>
      <c r="H60" s="45">
        <f t="shared" si="3"/>
        <v>0</v>
      </c>
      <c r="I60" s="46"/>
    </row>
    <row r="61" spans="1:9">
      <c r="B61" s="23" t="str">
        <f t="shared" si="0"/>
        <v>Silage</v>
      </c>
      <c r="E61" s="4">
        <f t="shared" si="1"/>
        <v>8.2350000000000007E-2</v>
      </c>
      <c r="F61" s="11" t="s">
        <v>50</v>
      </c>
      <c r="G61" s="45">
        <f t="shared" si="2"/>
        <v>40</v>
      </c>
      <c r="H61" s="45">
        <f t="shared" si="3"/>
        <v>3.2940000000000005</v>
      </c>
      <c r="I61" s="46"/>
    </row>
    <row r="62" spans="1:9">
      <c r="B62" s="23" t="str">
        <f t="shared" si="0"/>
        <v>Corn Stover</v>
      </c>
      <c r="E62" s="4">
        <f t="shared" si="1"/>
        <v>9.2249999999999985E-2</v>
      </c>
      <c r="F62" s="11" t="s">
        <v>50</v>
      </c>
      <c r="G62" s="45">
        <f t="shared" si="2"/>
        <v>90</v>
      </c>
      <c r="H62" s="45">
        <f t="shared" si="3"/>
        <v>8.3024999999999984</v>
      </c>
      <c r="I62" s="46"/>
    </row>
    <row r="63" spans="1:9">
      <c r="B63" s="23" t="str">
        <f t="shared" si="0"/>
        <v>Dried Distillers</v>
      </c>
      <c r="E63" s="4">
        <f t="shared" si="1"/>
        <v>7.7850000000000003E-2</v>
      </c>
      <c r="F63" s="11" t="s">
        <v>50</v>
      </c>
      <c r="G63" s="45">
        <f t="shared" si="2"/>
        <v>125</v>
      </c>
      <c r="H63" s="45">
        <f t="shared" si="3"/>
        <v>9.7312500000000011</v>
      </c>
      <c r="I63" s="46"/>
    </row>
    <row r="64" spans="1:9">
      <c r="B64" s="23" t="str">
        <f t="shared" si="0"/>
        <v>Pasture</v>
      </c>
      <c r="E64" s="4">
        <f t="shared" si="1"/>
        <v>0</v>
      </c>
      <c r="F64" s="11" t="s">
        <v>174</v>
      </c>
      <c r="G64" s="45">
        <f t="shared" si="2"/>
        <v>55</v>
      </c>
      <c r="H64" s="45">
        <f>(E64*G64)*I17</f>
        <v>0</v>
      </c>
      <c r="I64" s="46"/>
    </row>
    <row r="65" spans="1:9">
      <c r="B65" s="23" t="s">
        <v>16</v>
      </c>
      <c r="I65" s="105">
        <f>D21</f>
        <v>20</v>
      </c>
    </row>
    <row r="66" spans="1:9">
      <c r="B66" s="23" t="s">
        <v>17</v>
      </c>
      <c r="I66" s="105">
        <f>D22</f>
        <v>5</v>
      </c>
    </row>
    <row r="67" spans="1:9">
      <c r="B67" s="23" t="s">
        <v>18</v>
      </c>
      <c r="I67" s="105">
        <f>D23</f>
        <v>15.75</v>
      </c>
    </row>
    <row r="68" spans="1:9">
      <c r="B68" s="23" t="s">
        <v>48</v>
      </c>
      <c r="I68" s="105">
        <f>+D24</f>
        <v>0</v>
      </c>
    </row>
    <row r="69" spans="1:9">
      <c r="B69" s="23" t="s">
        <v>36</v>
      </c>
      <c r="I69" s="107">
        <f>+D25</f>
        <v>0</v>
      </c>
    </row>
    <row r="70" spans="1:9" ht="17" thickBot="1">
      <c r="B70" s="23" t="s">
        <v>121</v>
      </c>
      <c r="I70" s="107">
        <f>IF(I21=0,(I22/I24*I23/I25),(I21*I22/I25))</f>
        <v>1.44</v>
      </c>
    </row>
    <row r="71" spans="1:9" ht="17" thickBot="1">
      <c r="B71" s="23" t="s">
        <v>14</v>
      </c>
      <c r="D71" s="23" t="s">
        <v>19</v>
      </c>
      <c r="I71" s="108">
        <f>I53+I54+I65+I66+I67+I68+I69</f>
        <v>2418.2681071428569</v>
      </c>
    </row>
    <row r="72" spans="1:9" ht="17" thickBot="1">
      <c r="I72" s="46"/>
    </row>
    <row r="73" spans="1:9" ht="18" thickTop="1" thickBot="1">
      <c r="A73" s="26" t="s">
        <v>20</v>
      </c>
      <c r="I73" s="158">
        <f>I50-I71</f>
        <v>118.11189285714318</v>
      </c>
    </row>
    <row r="74" spans="1:9" ht="17" thickTop="1"/>
    <row r="75" spans="1:9">
      <c r="A75" s="26" t="s">
        <v>21</v>
      </c>
    </row>
    <row r="76" spans="1:9">
      <c r="B76" s="23" t="s">
        <v>22</v>
      </c>
      <c r="G76" s="112">
        <f>I12/100</f>
        <v>0.06</v>
      </c>
    </row>
    <row r="77" spans="1:9">
      <c r="B77" s="23" t="s">
        <v>23</v>
      </c>
      <c r="I77" s="105">
        <f>((I71*I12)*($I$17/12))/100</f>
        <v>36.274021607142856</v>
      </c>
    </row>
    <row r="78" spans="1:9">
      <c r="B78" s="23" t="s">
        <v>24</v>
      </c>
      <c r="I78" s="105">
        <f>I13</f>
        <v>6</v>
      </c>
    </row>
    <row r="79" spans="1:9" ht="17" thickBot="1">
      <c r="B79" s="23" t="s">
        <v>33</v>
      </c>
      <c r="I79" s="107">
        <f>(I71+I14)*0.025</f>
        <v>62.956702678571425</v>
      </c>
    </row>
    <row r="80" spans="1:9" ht="17" thickBot="1">
      <c r="D80" s="4" t="s">
        <v>267</v>
      </c>
      <c r="I80" s="159">
        <f>+SUM(I77:I79)</f>
        <v>105.23072428571427</v>
      </c>
    </row>
    <row r="81" spans="1:9" ht="17" thickBot="1">
      <c r="D81" s="23" t="s">
        <v>25</v>
      </c>
      <c r="I81" s="160">
        <f>I73-SUM(I76:I79)</f>
        <v>12.881168571428901</v>
      </c>
    </row>
    <row r="82" spans="1:9" ht="17" thickTop="1"/>
    <row r="83" spans="1:9">
      <c r="G83" s="7" t="s">
        <v>377</v>
      </c>
      <c r="H83" s="105">
        <f>(I71+SUM(I77:I79)+I49)/E48</f>
        <v>178.41991653061223</v>
      </c>
      <c r="I83" s="102" t="s">
        <v>103</v>
      </c>
    </row>
    <row r="84" spans="1:9">
      <c r="E84" s="7" t="s">
        <v>52</v>
      </c>
      <c r="F84" s="45">
        <f>D18</f>
        <v>207</v>
      </c>
      <c r="G84" s="23" t="s">
        <v>53</v>
      </c>
    </row>
    <row r="85" spans="1:9">
      <c r="F85" s="7" t="s">
        <v>54</v>
      </c>
      <c r="G85" s="141">
        <f>(SUM(I54:I69)+SUM(I77:I79))/(E48-E53)</f>
        <v>82.16627714285714</v>
      </c>
      <c r="H85" s="23" t="s">
        <v>55</v>
      </c>
    </row>
    <row r="86" spans="1:9">
      <c r="G86" s="7" t="s">
        <v>378</v>
      </c>
      <c r="H86" s="105">
        <f>(I50-(SUM(I54:I69)-SUM(I76:I79)))/E53</f>
        <v>227.3038742857143</v>
      </c>
      <c r="I86" s="102" t="s">
        <v>103</v>
      </c>
    </row>
    <row r="87" spans="1:9">
      <c r="E87" s="7" t="s">
        <v>57</v>
      </c>
      <c r="F87" s="115">
        <f>D13</f>
        <v>183</v>
      </c>
      <c r="G87" s="23" t="s">
        <v>53</v>
      </c>
    </row>
    <row r="88" spans="1:9">
      <c r="B88" s="26" t="s">
        <v>108</v>
      </c>
    </row>
    <row r="89" spans="1:9">
      <c r="B89" s="45"/>
      <c r="C89" s="122"/>
      <c r="D89" s="183" t="s">
        <v>32</v>
      </c>
      <c r="E89" s="183"/>
      <c r="F89" s="183"/>
      <c r="G89" s="183"/>
      <c r="H89" s="183"/>
      <c r="I89" s="183"/>
    </row>
    <row r="90" spans="1:9" ht="51">
      <c r="A90" s="8"/>
      <c r="B90" s="8"/>
      <c r="C90" s="181" t="s">
        <v>374</v>
      </c>
      <c r="D90" s="116">
        <f>G48-8</f>
        <v>175</v>
      </c>
      <c r="E90" s="117">
        <f>G48-4</f>
        <v>179</v>
      </c>
      <c r="F90" s="117">
        <f>G48</f>
        <v>183</v>
      </c>
      <c r="G90" s="117">
        <f>G48+4</f>
        <v>187</v>
      </c>
      <c r="H90" s="117">
        <f>G48+8</f>
        <v>191</v>
      </c>
      <c r="I90" s="117">
        <f>H90+4</f>
        <v>195</v>
      </c>
    </row>
    <row r="91" spans="1:9">
      <c r="C91" s="187">
        <f>G53-10</f>
        <v>197</v>
      </c>
      <c r="D91" s="106">
        <f t="shared" ref="D91:I91" si="4">(($E$48*D90)-($E$49/100*$E$48*D90))-(($E$53*$C$91)+SUM($I$54:$I$69)+SUM($I$77:$I$79))</f>
        <v>12.001168571428934</v>
      </c>
      <c r="E91" s="106">
        <f t="shared" si="4"/>
        <v>67.441168571428989</v>
      </c>
      <c r="F91" s="106">
        <f t="shared" si="4"/>
        <v>122.88116857142904</v>
      </c>
      <c r="G91" s="106">
        <f t="shared" si="4"/>
        <v>178.3211685714291</v>
      </c>
      <c r="H91" s="106">
        <f t="shared" si="4"/>
        <v>233.76116857142915</v>
      </c>
      <c r="I91" s="106">
        <f t="shared" si="4"/>
        <v>289.20116857142875</v>
      </c>
    </row>
    <row r="92" spans="1:9">
      <c r="C92" s="45">
        <f>G53-5</f>
        <v>202</v>
      </c>
      <c r="D92" s="106">
        <f t="shared" ref="D92:I92" si="5">(($E$48*D90)-($E$49/100*$E$48*D90))-(($E$53*$C$92)+SUM($I$54:$I$69)+SUM($I$77:$I$79))</f>
        <v>-42.998831428571066</v>
      </c>
      <c r="E92" s="106">
        <f t="shared" si="5"/>
        <v>12.441168571428989</v>
      </c>
      <c r="F92" s="106">
        <f t="shared" si="5"/>
        <v>67.881168571429043</v>
      </c>
      <c r="G92" s="106">
        <f t="shared" si="5"/>
        <v>123.3211685714291</v>
      </c>
      <c r="H92" s="106">
        <f t="shared" si="5"/>
        <v>178.76116857142915</v>
      </c>
      <c r="I92" s="106">
        <f t="shared" si="5"/>
        <v>234.20116857142875</v>
      </c>
    </row>
    <row r="93" spans="1:9">
      <c r="C93" s="45">
        <f>G53</f>
        <v>207</v>
      </c>
      <c r="D93" s="106">
        <f t="shared" ref="D93:I93" si="6">(($E$48*D90)-($E$49/100*$E$48*D90))-(($E$53*$C$93)+SUM($I$54:$I$69)+SUM($I$77:$I$79))</f>
        <v>-97.998831428571066</v>
      </c>
      <c r="E93" s="106">
        <f t="shared" si="6"/>
        <v>-42.558831428571011</v>
      </c>
      <c r="F93" s="106">
        <f t="shared" si="6"/>
        <v>12.881168571429043</v>
      </c>
      <c r="G93" s="106">
        <f t="shared" si="6"/>
        <v>68.321168571429098</v>
      </c>
      <c r="H93" s="106">
        <f t="shared" si="6"/>
        <v>123.76116857142915</v>
      </c>
      <c r="I93" s="106">
        <f t="shared" si="6"/>
        <v>179.20116857142875</v>
      </c>
    </row>
    <row r="94" spans="1:9">
      <c r="C94" s="45">
        <f>G53+5</f>
        <v>212</v>
      </c>
      <c r="D94" s="106">
        <f t="shared" ref="D94:I94" si="7">(($E$48*D90)-($E$49/100*$E$48*D90))-(($E$53*$C$94)+SUM($I$54:$I$69)+SUM($I$77:$I$79))</f>
        <v>-152.99883142857107</v>
      </c>
      <c r="E94" s="106">
        <f t="shared" si="7"/>
        <v>-97.558831428571011</v>
      </c>
      <c r="F94" s="106">
        <f t="shared" si="7"/>
        <v>-42.118831428570957</v>
      </c>
      <c r="G94" s="106">
        <f t="shared" si="7"/>
        <v>13.321168571429098</v>
      </c>
      <c r="H94" s="106">
        <f t="shared" si="7"/>
        <v>68.761168571429153</v>
      </c>
      <c r="I94" s="106">
        <f t="shared" si="7"/>
        <v>124.20116857142875</v>
      </c>
    </row>
    <row r="95" spans="1:9">
      <c r="C95" s="45">
        <f>G53+10</f>
        <v>217</v>
      </c>
      <c r="D95" s="106">
        <f t="shared" ref="D95:I95" si="8">(($E$48*D90)-($E$49/100*$E$48*D90))-(($E$53*$C$95)+SUM($I$54:$I$69)+SUM($I$77:$I$79))</f>
        <v>-207.99883142857107</v>
      </c>
      <c r="E95" s="106">
        <f t="shared" si="8"/>
        <v>-152.55883142857101</v>
      </c>
      <c r="F95" s="106">
        <f t="shared" si="8"/>
        <v>-97.118831428570957</v>
      </c>
      <c r="G95" s="106">
        <f t="shared" si="8"/>
        <v>-41.678831428570902</v>
      </c>
      <c r="H95" s="106">
        <f t="shared" si="8"/>
        <v>13.761168571429153</v>
      </c>
      <c r="I95" s="106">
        <f t="shared" si="8"/>
        <v>69.201168571428752</v>
      </c>
    </row>
    <row r="96" spans="1:9">
      <c r="I96" s="23"/>
    </row>
    <row r="97" spans="1:9">
      <c r="I97" s="23"/>
    </row>
    <row r="98" spans="1:9">
      <c r="B98" s="118" t="s">
        <v>108</v>
      </c>
      <c r="C98" s="45"/>
      <c r="D98" s="45"/>
      <c r="E98" s="45"/>
      <c r="F98" s="45"/>
      <c r="G98" s="45"/>
      <c r="I98" s="23"/>
    </row>
    <row r="99" spans="1:9">
      <c r="B99" s="106"/>
      <c r="D99" s="7" t="s">
        <v>59</v>
      </c>
      <c r="E99" s="119">
        <f>G53</f>
        <v>207</v>
      </c>
      <c r="F99" s="106" t="s">
        <v>60</v>
      </c>
      <c r="H99" s="45"/>
      <c r="I99" s="106"/>
    </row>
    <row r="100" spans="1:9">
      <c r="B100" s="115"/>
      <c r="C100" s="120" t="s">
        <v>89</v>
      </c>
      <c r="D100" s="45"/>
      <c r="E100" s="45"/>
      <c r="F100" s="45"/>
      <c r="G100" s="45"/>
      <c r="H100" s="45"/>
      <c r="I100" s="106"/>
    </row>
    <row r="101" spans="1:9">
      <c r="A101" s="8"/>
      <c r="B101" s="8"/>
      <c r="C101" s="121" t="s">
        <v>92</v>
      </c>
      <c r="D101" s="117">
        <f>G48-8</f>
        <v>175</v>
      </c>
      <c r="E101" s="117">
        <f>G48-4</f>
        <v>179</v>
      </c>
      <c r="F101" s="117">
        <f>G48</f>
        <v>183</v>
      </c>
      <c r="G101" s="117">
        <f>G48+4</f>
        <v>187</v>
      </c>
      <c r="H101" s="117">
        <f>G48+8</f>
        <v>191</v>
      </c>
      <c r="I101" s="117">
        <f>G48+12</f>
        <v>195</v>
      </c>
    </row>
    <row r="102" spans="1:9">
      <c r="C102" s="122">
        <f>G85/100-0.1</f>
        <v>0.72166277142857138</v>
      </c>
      <c r="D102" s="106">
        <f>((E48*(G48-8))-(E49/100*E48*(G48-8)))-(I53+((G85-10)*(E48-E53)))</f>
        <v>-67.998831428571521</v>
      </c>
      <c r="E102" s="106">
        <f>((E48*(G48-4))-(E49/100*E48*(G48-4)))-(I53+((G85-10)*(E48-E53)))</f>
        <v>-12.558831428571466</v>
      </c>
      <c r="F102" s="106">
        <f>((E48*(G48))-(E49/100*E48*(G48)))-(I53+((G85-10)*(E48-E53)))</f>
        <v>42.881168571428589</v>
      </c>
      <c r="G102" s="106">
        <f>((E48*(G48+4))-(E49/100*E48*(G48+4)))-(I53+((G85-10)*(E48-E53)))</f>
        <v>98.321168571428643</v>
      </c>
      <c r="H102" s="106">
        <f>((E48*(G48+8))-(E49/100*E48*(G48+8)))-(I53+((G85-10)*(E48-E53)))</f>
        <v>153.7611685714287</v>
      </c>
      <c r="I102" s="106">
        <f>((E48*(G48+12))-(E49/100*E48*(G48+12)))-(I53+((G85-10)*(E48-E53)))</f>
        <v>209.2011685714283</v>
      </c>
    </row>
    <row r="103" spans="1:9">
      <c r="C103" s="122">
        <f>G85/100-0.05</f>
        <v>0.77166277142857131</v>
      </c>
      <c r="D103" s="106">
        <f>((E48*(G48-8))-(E49/100*E48*(G48-8)))-(I53+((G85-5)*(E48-E53)))</f>
        <v>-82.998831428571521</v>
      </c>
      <c r="E103" s="106">
        <f>((E48*(G48-4))-(E49/100*E48*(G48-4)))-(I53+((G85-5)*(E48-E53)))</f>
        <v>-27.558831428571466</v>
      </c>
      <c r="F103" s="106">
        <f>((E48*(G48))-(E49/100*E48*(G48)))-(I53+((G85-5)*(E48-E53)))</f>
        <v>27.881168571428589</v>
      </c>
      <c r="G103" s="106">
        <f>((E48*(G48+4))-(E49/100*E48*(G48+4)))-(I53+((G85-5)*(E48-E53)))</f>
        <v>83.321168571428643</v>
      </c>
      <c r="H103" s="106">
        <f>((E48*(G48+8))-(E49/100*E48*(G48+8)))-(I53+((G85-5)*(E48-E53)))</f>
        <v>138.7611685714287</v>
      </c>
      <c r="I103" s="106">
        <f>((E48*(G48+12))-(E49/100*E48*(G48+12)))-(I53+((G85-5)*(E48-E53)))</f>
        <v>194.2011685714283</v>
      </c>
    </row>
    <row r="104" spans="1:9">
      <c r="C104" s="122">
        <f>G85/100</f>
        <v>0.82166277142857136</v>
      </c>
      <c r="D104" s="106">
        <f>((E48*(G48-8))-(E49/100*E48*(G48-8)))-(I53+(G85*(E48-E53)))</f>
        <v>-97.998831428571521</v>
      </c>
      <c r="E104" s="106">
        <f>((E48*(G48-4))-(E49/100*E48*(G48-4)))-(I53+(G85*(E48-E53)))</f>
        <v>-42.558831428571466</v>
      </c>
      <c r="F104" s="106">
        <f>((E48*G48)-(E49/100*E48*G48))-(I53+(G85*(E48-E53)))</f>
        <v>12.881168571428589</v>
      </c>
      <c r="G104" s="106">
        <f>((E48*(G48+4))-(E49/100*E48*(G48+4)))-(I53+(G85*(E48-E53)))</f>
        <v>68.321168571428643</v>
      </c>
      <c r="H104" s="106">
        <f>((E48*(G48+8))-(E49/100*E48*(G48+8)))-(I53+(G85*(E48-E53)))</f>
        <v>123.7611685714287</v>
      </c>
      <c r="I104" s="106">
        <f>((E48*(G48+12))-(E49/100*E48*(G48+12)))-(I53+(G85*(E48-E53)))</f>
        <v>179.2011685714283</v>
      </c>
    </row>
    <row r="105" spans="1:9">
      <c r="C105" s="122">
        <f>G85/100+0.05</f>
        <v>0.8716627714285714</v>
      </c>
      <c r="D105" s="106">
        <f>((E48*(G48-8))-(E49/100*E48*(G48-8)))-(I53+((G85+5)*(E48-E53)))</f>
        <v>-112.99883142857152</v>
      </c>
      <c r="E105" s="106">
        <f>((E48*(G48-4))-(E49/100*E48*(G48-4)))-(I53+((G85+5)*(E48-E53)))</f>
        <v>-57.558831428571466</v>
      </c>
      <c r="F105" s="106">
        <f>((E48*(G48))-(E49/100*E48*(G48)))-(I53+((G85+5)*(E48-E53)))</f>
        <v>-2.1188314285714114</v>
      </c>
      <c r="G105" s="106">
        <f>((E48*(G48+4))-(E49/100*E48*(G48+4)))-(I53+((G85+5)*(E48-E53)))</f>
        <v>53.321168571428643</v>
      </c>
      <c r="H105" s="106">
        <f>((E48*(G48+8))-(E49/100*E48*(G48+8)))-(I53+((G85+5)*(E48-E53)))</f>
        <v>108.7611685714287</v>
      </c>
      <c r="I105" s="106">
        <f>((E48*(G48+12))-(E49/100*E48*(G48+12)))-(I53+((G85+5)*(E48-E53)))</f>
        <v>164.2011685714283</v>
      </c>
    </row>
    <row r="106" spans="1:9">
      <c r="C106" s="122">
        <f>G85/100+0.1</f>
        <v>0.92166277142857134</v>
      </c>
      <c r="D106" s="106">
        <f>((E48*(G48-8))-(E49/100*E48*(G48-8)))-(I53+((G85+10)*(E48-E53)))</f>
        <v>-127.99883142857152</v>
      </c>
      <c r="E106" s="106">
        <f>((E48*(G48-4))-(E49/100*E48*(G48-4)))-(I53+((G85+10)*(E48-E53)))</f>
        <v>-72.558831428571466</v>
      </c>
      <c r="F106" s="106">
        <f>((E48*(G48))-(E49/100*E48*(G48)))-(I53+((G85+10)*(E48-E53)))</f>
        <v>-17.118831428571411</v>
      </c>
      <c r="G106" s="106">
        <f>((E48*(G48+4))-(E49/100*E48*(G48+4)))-(I53+((G85+10)*(E48-E53)))</f>
        <v>38.321168571428643</v>
      </c>
      <c r="H106" s="106">
        <f>((E48*(G48+8))-(E49/100*E48*(G48+8)))-(I53+((G85+10)*(E48-E53)))</f>
        <v>93.761168571428698</v>
      </c>
      <c r="I106" s="106">
        <f>((E48*(G48+12))-(E49/100*E48*(G48+12)))-(I53+((G85+10)*(E48-E53)))</f>
        <v>149.2011685714283</v>
      </c>
    </row>
    <row r="107" spans="1:9">
      <c r="I107" s="23"/>
    </row>
    <row r="108" spans="1:9">
      <c r="B108" s="118" t="s">
        <v>108</v>
      </c>
      <c r="I108" s="23"/>
    </row>
    <row r="109" spans="1:9">
      <c r="B109" s="106"/>
      <c r="D109" s="7" t="s">
        <v>59</v>
      </c>
      <c r="E109" s="119">
        <f>G53+10</f>
        <v>217</v>
      </c>
      <c r="F109" s="106" t="s">
        <v>60</v>
      </c>
      <c r="H109" s="45"/>
      <c r="I109" s="106"/>
    </row>
    <row r="110" spans="1:9">
      <c r="B110" s="106"/>
      <c r="C110" s="120" t="s">
        <v>88</v>
      </c>
      <c r="E110" s="45"/>
      <c r="F110" s="106"/>
      <c r="H110" s="45"/>
      <c r="I110" s="106"/>
    </row>
    <row r="111" spans="1:9">
      <c r="A111" s="8"/>
      <c r="B111" s="8"/>
      <c r="C111" s="123" t="s">
        <v>93</v>
      </c>
      <c r="D111" s="117">
        <f>G48-8</f>
        <v>175</v>
      </c>
      <c r="E111" s="117">
        <f>G48-4</f>
        <v>179</v>
      </c>
      <c r="F111" s="117">
        <f>G48</f>
        <v>183</v>
      </c>
      <c r="G111" s="117">
        <f>G48+4</f>
        <v>187</v>
      </c>
      <c r="H111" s="117">
        <f>G48+8</f>
        <v>191</v>
      </c>
      <c r="I111" s="117">
        <f>G48+12</f>
        <v>195</v>
      </c>
    </row>
    <row r="112" spans="1:9">
      <c r="C112" s="122">
        <f>G85/100-0.1</f>
        <v>0.72166277142857138</v>
      </c>
      <c r="D112" s="106">
        <f>((E48*(G48-8))-(E49/100*E48*(G48-8)))-((E53*(G53+10))+((G85-10)*(E48-E53)))</f>
        <v>-177.99883142857152</v>
      </c>
      <c r="E112" s="106">
        <f>((E48*(G48-4))-(E49/100*E48*(G48-4)))-((E53*(G53+10))+((G85-10)*(E48-E53)))</f>
        <v>-122.55883142857147</v>
      </c>
      <c r="F112" s="106">
        <f>((E48*(G48))-(E49/100*E48*(G48)))-((E53*(G53+10))+((G85-10)*(E48-E53)))</f>
        <v>-67.118831428571411</v>
      </c>
      <c r="G112" s="106">
        <f>((E48*(G48+4))-(E49/100*E48*(G48+4)))-((E53*(G53+10))+((G85-10)*(E48-E53)))</f>
        <v>-11.678831428571357</v>
      </c>
      <c r="H112" s="106">
        <f>((E48*(G48+8))-(E49/100*E48*(G48+8)))-((E53*(G53+10))+((G85-10)*(E48-E53)))</f>
        <v>43.761168571428698</v>
      </c>
      <c r="I112" s="106">
        <f>((E48*I111)-(E49/100*E48*I111))-((E53*E109)+(C112*100*(E48-E53)))</f>
        <v>99.201168571428298</v>
      </c>
    </row>
    <row r="113" spans="1:10">
      <c r="C113" s="122">
        <f>G85/100-0.05</f>
        <v>0.77166277142857131</v>
      </c>
      <c r="D113" s="106">
        <f>((E48*(G48-8))-(E49/100*E48*(G48-8)))-((E53*(G53+10))+((G85-5)*(E48-E53)))</f>
        <v>-192.99883142857152</v>
      </c>
      <c r="E113" s="106">
        <f>((E48*(G48-4))-(E49/100*E48*(G48-4)))-((E53*(G53+10))+((G85-5)*(E48-E53)))</f>
        <v>-137.55883142857147</v>
      </c>
      <c r="F113" s="106">
        <f>((E48*(G48))-(E49/100*E48*(G48)))-((E53*(G53+10))+((G85-5)*(E48-E53)))</f>
        <v>-82.118831428571411</v>
      </c>
      <c r="G113" s="106">
        <f>((E48*(G48+4))-(E49/100*E48*(G48+4)))-((E53*(G53+10))+((G85-5)*(E48-E53)))</f>
        <v>-26.678831428571357</v>
      </c>
      <c r="H113" s="106">
        <f>((E48*(G48+8))-(E49/100*E48*(G48+8)))-((E53*(G53+10))+((G85-5)*(E48-E53)))</f>
        <v>28.761168571428698</v>
      </c>
      <c r="I113" s="106">
        <f>((E48*(G48+12))-(E49/100*E48*(G48+12)))-((E53*(G53+10))+((G85-5)*(E48-E53)))</f>
        <v>84.201168571428298</v>
      </c>
    </row>
    <row r="114" spans="1:10">
      <c r="C114" s="122">
        <f>G85/100</f>
        <v>0.82166277142857136</v>
      </c>
      <c r="D114" s="106">
        <f>((E48*(G48-8))-(E49/100*E48*(G48-8)))-((E53*(G53+10))+(G85*(E48-E53)))</f>
        <v>-207.99883142857152</v>
      </c>
      <c r="E114" s="106">
        <f>((E48*(G48-4))-(E49/100*E48*(G48-4)))-((E53*(G53+10))+(G85*(E48-E53)))</f>
        <v>-152.55883142857147</v>
      </c>
      <c r="F114" s="106">
        <f>((E48*G48)-(E49/100*E48*G48))-((E53*(G53+10))+(G85*(E48-E53)))</f>
        <v>-97.118831428571411</v>
      </c>
      <c r="G114" s="106">
        <f>((E48*(G48+4))-(E49/100*E48*(G48+4)))-((E53*(G53+10))+(G85*(E48-E53)))</f>
        <v>-41.678831428571357</v>
      </c>
      <c r="H114" s="106">
        <f>((E48*(G48+8))-(E49/100*E48*(G48+8)))-((E53*(G53+10))+(G85*(E48-E53)))</f>
        <v>13.761168571428698</v>
      </c>
      <c r="I114" s="106">
        <f>((E48*(G48+12))-(E49/100*E48*(G48+12)))-((E53*(G53+10))+(G85*(E48-E53)))</f>
        <v>69.201168571428298</v>
      </c>
    </row>
    <row r="115" spans="1:10">
      <c r="C115" s="122">
        <f>G85/100+0.05</f>
        <v>0.8716627714285714</v>
      </c>
      <c r="D115" s="106">
        <f>((E48*(G48-8))-(E49/100*E48*(G48-8)))-((E53*(G53+10))+((G85+5)*(E48-E53)))</f>
        <v>-222.99883142857152</v>
      </c>
      <c r="E115" s="106">
        <f>((E48*(G48-4))-(E49/100*E48*(G48-4)))-((E53*(G53+10))+((G85+5)*(E48-E53)))</f>
        <v>-167.55883142857147</v>
      </c>
      <c r="F115" s="106">
        <f>((E48*(G48))-(E49/100*E48*(G48)))-((E53*(G53+10))+((G85+5)*(E48-E53)))</f>
        <v>-112.11883142857141</v>
      </c>
      <c r="G115" s="106">
        <f>((E48*(G48+4))-(E49/100*E48*(G48+4)))-((E53*(G53+10))+((G85+5)*(E48-E53)))</f>
        <v>-56.678831428571357</v>
      </c>
      <c r="H115" s="106">
        <f>((E48*(G48+8))-(E49/100*E48*(G48+8)))-((E53*(G53+10))+((G85+5)*(E48-E53)))</f>
        <v>-1.2388314285713022</v>
      </c>
      <c r="I115" s="106">
        <f>((E48*(G48+12))-(E49/100*E48*(G48+12)))-((E53*(G53+10))+((G85+5)*(E48-E53)))</f>
        <v>54.201168571428298</v>
      </c>
    </row>
    <row r="116" spans="1:10">
      <c r="C116" s="122">
        <f>G85/100+0.1</f>
        <v>0.92166277142857134</v>
      </c>
      <c r="D116" s="106">
        <f>((E48*(G48-8))-(E49/100*E48*(G48-8)))-((E53*(G53+10))+((G85+10)*(E48-E53)))</f>
        <v>-237.99883142857152</v>
      </c>
      <c r="E116" s="106">
        <f>((E48*(G48-4))-(E49/100*E67*(G48-4)))-((E53*(G53+10))+((G85+10)*(E48-E53)))</f>
        <v>-157.49883142857152</v>
      </c>
      <c r="F116" s="106">
        <f>((E48*(G48))-(E49/100*E48*(G48)))-((E53*(G53+10))+((G85+10)*(E48-E53)))</f>
        <v>-127.11883142857141</v>
      </c>
      <c r="G116" s="106">
        <f>((E48*(G48+4))-(E49/100*E48*(G48+4)))-((E53*(G53+10))+((G85+10)*(E48-E53)))</f>
        <v>-71.678831428571357</v>
      </c>
      <c r="H116" s="106">
        <f>((E48*(G48+8))-(E49/100*E48*(G48+8)))-((E53*(G53+10))+((G85+10)*(E48-E53)))</f>
        <v>-16.238831428571302</v>
      </c>
      <c r="I116" s="106">
        <f>((E48*(G48+12))-(E49/100*E48*(G48+12)))-((E53*(G53+10))+((G85+10)*(E48-E53)))</f>
        <v>39.201168571428298</v>
      </c>
    </row>
    <row r="118" spans="1:10">
      <c r="A118" s="5"/>
      <c r="B118" s="5"/>
      <c r="C118" s="5"/>
      <c r="D118" s="5"/>
      <c r="E118" s="5"/>
      <c r="F118" s="5"/>
      <c r="G118" s="5"/>
      <c r="H118" s="5"/>
      <c r="I118" s="5"/>
      <c r="J118" s="23"/>
    </row>
    <row r="119" spans="1:10">
      <c r="A119" s="5"/>
      <c r="B119" s="5"/>
      <c r="C119" s="5"/>
      <c r="D119" s="5"/>
      <c r="E119" s="5"/>
      <c r="F119" s="5"/>
      <c r="G119" s="5"/>
      <c r="H119" s="5"/>
      <c r="I119" s="5"/>
      <c r="J119" s="23"/>
    </row>
    <row r="120" spans="1:10">
      <c r="A120" s="23"/>
      <c r="J120" s="23"/>
    </row>
    <row r="121" spans="1:10">
      <c r="A121" s="127"/>
      <c r="B121" s="127"/>
      <c r="C121" s="127"/>
      <c r="D121" s="127"/>
      <c r="E121" s="127"/>
      <c r="F121" s="127"/>
      <c r="G121" s="127"/>
      <c r="H121" s="127"/>
      <c r="I121" s="127"/>
      <c r="J121" s="23"/>
    </row>
    <row r="122" spans="1:10">
      <c r="A122" s="127"/>
      <c r="B122" s="146"/>
      <c r="C122" s="146"/>
      <c r="D122" s="146"/>
      <c r="E122" s="146"/>
      <c r="F122" s="146"/>
      <c r="G122" s="146"/>
      <c r="H122" s="146"/>
      <c r="I122" s="146"/>
    </row>
    <row r="123" spans="1:10">
      <c r="G123" s="45"/>
    </row>
    <row r="124" spans="1:10">
      <c r="A124" s="5"/>
      <c r="B124" s="5"/>
      <c r="C124" s="5"/>
      <c r="D124" s="5"/>
      <c r="E124" s="5"/>
      <c r="F124" s="5"/>
      <c r="G124" s="5"/>
      <c r="H124" s="5"/>
      <c r="I124" s="5"/>
    </row>
    <row r="125" spans="1:10">
      <c r="A125" s="5"/>
      <c r="B125" s="5"/>
      <c r="C125" s="5"/>
      <c r="D125" s="5"/>
      <c r="E125" s="5"/>
      <c r="F125" s="5"/>
      <c r="G125" s="5"/>
      <c r="H125" s="5"/>
      <c r="I125" s="5"/>
    </row>
    <row r="126" spans="1:10">
      <c r="A126" s="23"/>
      <c r="G126" s="45"/>
    </row>
    <row r="128" spans="1:10">
      <c r="A128" s="125"/>
    </row>
    <row r="130" spans="1:1">
      <c r="A130" s="23"/>
    </row>
    <row r="131" spans="1:1">
      <c r="A131" s="125"/>
    </row>
    <row r="132" spans="1:1">
      <c r="A132" s="23"/>
    </row>
    <row r="143" spans="1:1">
      <c r="A143" s="23"/>
    </row>
  </sheetData>
  <sheetProtection algorithmName="SHA-512" hashValue="fSofAXxILp/9F0ctxEbqVWCOJ/AR63gTSEkuZuusrBxp/mHSXiGieqFOtiDT9lzSAwxV0W1VDyC4cYQcZp2NIw==" saltValue="gQk0CP8Tw6pALswUGUgOgA==" spinCount="100000" sheet="1" objects="1" scenarios="1"/>
  <conditionalFormatting sqref="D91:I95">
    <cfRule type="colorScale" priority="6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4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02:I106">
    <cfRule type="colorScale" priority="5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12:I1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H22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scale="94" fitToWidth="0" fitToHeight="0" orientation="portrait" r:id="rId1"/>
  <rowBreaks count="1" manualBreakCount="1">
    <brk id="81" max="16383" man="1"/>
  </row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lorScale" priority="35" id="{42F8A91C-9E7D-4B04-8FD1-D5DA7444562F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D91:I95</xm:sqref>
        </x14:conditionalFormatting>
        <x14:conditionalFormatting xmlns:xm="http://schemas.microsoft.com/office/excel/2006/main">
          <x14:cfRule type="colorScale" priority="36" id="{8E232902-2786-4F7F-96A1-367FBF226712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D102:I106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DDA9FD3EE0624BA05452F9C1CA39C7" ma:contentTypeVersion="16" ma:contentTypeDescription="Create a new document." ma:contentTypeScope="" ma:versionID="46186856cb24553640fc7d33ecc5894a">
  <xsd:schema xmlns:xsd="http://www.w3.org/2001/XMLSchema" xmlns:xs="http://www.w3.org/2001/XMLSchema" xmlns:p="http://schemas.microsoft.com/office/2006/metadata/properties" xmlns:ns2="d987b252-d914-4568-8344-3f6876b18783" xmlns:ns3="b0038c3f-f23e-4f68-bb86-355279ab5131" targetNamespace="http://schemas.microsoft.com/office/2006/metadata/properties" ma:root="true" ma:fieldsID="4e7202ddf0ee969b88e1989dbc946163" ns2:_="" ns3:_="">
    <xsd:import namespace="d987b252-d914-4568-8344-3f6876b18783"/>
    <xsd:import namespace="b0038c3f-f23e-4f68-bb86-355279ab513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87b252-d914-4568-8344-3f6876b187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18ef471-96d1-4bba-b117-b8eacc1309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038c3f-f23e-4f68-bb86-355279ab513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0a87364-7838-4e54-b575-40264258baa9}" ma:internalName="TaxCatchAll" ma:showField="CatchAllData" ma:web="b0038c3f-f23e-4f68-bb86-355279ab513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0038c3f-f23e-4f68-bb86-355279ab5131" xsi:nil="true"/>
    <lcf76f155ced4ddcb4097134ff3c332f xmlns="d987b252-d914-4568-8344-3f6876b1878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7203E6E-E195-4CEF-AE47-6E2FF5D6C628}"/>
</file>

<file path=customXml/itemProps2.xml><?xml version="1.0" encoding="utf-8"?>
<ds:datastoreItem xmlns:ds="http://schemas.openxmlformats.org/officeDocument/2006/customXml" ds:itemID="{F3929808-C61A-4834-845F-50DA1AAF26D2}"/>
</file>

<file path=customXml/itemProps3.xml><?xml version="1.0" encoding="utf-8"?>
<ds:datastoreItem xmlns:ds="http://schemas.openxmlformats.org/officeDocument/2006/customXml" ds:itemID="{1DA61147-0B34-4EC8-9721-4772A71DA1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Read Me</vt:lpstr>
      <vt:lpstr>10-9-2015 prices sources</vt:lpstr>
      <vt:lpstr>Step 1 - Feed Cost Input Sheet </vt:lpstr>
      <vt:lpstr>Heifer Development</vt:lpstr>
      <vt:lpstr>Beef Cow Only</vt:lpstr>
      <vt:lpstr>Background Nov-Feb</vt:lpstr>
      <vt:lpstr>Finish Steers</vt:lpstr>
      <vt:lpstr>Background Yearlings 750-1100#</vt:lpstr>
      <vt:lpstr>Finish Yearlings 1100-1400</vt:lpstr>
      <vt:lpstr>Contact</vt:lpstr>
      <vt:lpstr>'Background Nov-Feb'!Print_Area</vt:lpstr>
      <vt:lpstr>'Background Yearlings 750-1100#'!Print_Area</vt:lpstr>
      <vt:lpstr>'Beef Cow Only'!Print_Area</vt:lpstr>
      <vt:lpstr>Contact!Print_Area</vt:lpstr>
      <vt:lpstr>'Finish Steers'!Print_Area</vt:lpstr>
      <vt:lpstr>'Finish Yearlings 1100-1400'!Print_Area</vt:lpstr>
      <vt:lpstr>'Heifer Development'!Print_Area</vt:lpstr>
      <vt:lpstr>'Read Me'!Print_Area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SDSU Extension Beef Cattle Enterprise Budgets</dc:title>
  <dc:subject/>
  <dc:creator>Heather Gessner</dc:creator>
  <cp:keywords/>
  <dc:description/>
  <cp:lastModifiedBy>Shauna Hermel</cp:lastModifiedBy>
  <cp:lastPrinted>2022-05-06T13:14:26Z</cp:lastPrinted>
  <dcterms:created xsi:type="dcterms:W3CDTF">2006-01-17T20:26:47Z</dcterms:created>
  <dcterms:modified xsi:type="dcterms:W3CDTF">2023-12-07T03:52:27Z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0x01010016DDA9FD3EE0624BA05452F9C1CA39C7</vt:lpwstr>
  </property>
</Properties>
</file>